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D:\Flax - CTA 2021\2021 FMA\Tests\October\Session 1\"/>
    </mc:Choice>
  </mc:AlternateContent>
  <xr:revisionPtr revIDLastSave="0" documentId="8_{EF1ABD21-D221-4794-93F7-47A47B12AE5D}" xr6:coauthVersionLast="47" xr6:coauthVersionMax="47" xr10:uidLastSave="{00000000-0000-0000-0000-000000000000}"/>
  <bookViews>
    <workbookView xWindow="-110" yWindow="-110" windowWidth="19420" windowHeight="10420" firstSheet="1" activeTab="1" xr2:uid="{00000000-000D-0000-FFFF-FFFF00000000}"/>
  </bookViews>
  <sheets>
    <sheet name="Workings" sheetId="1" r:id="rId1"/>
    <sheet name="Solu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2" l="1"/>
  <c r="G56" i="2"/>
  <c r="E8" i="2"/>
  <c r="D8" i="2"/>
  <c r="D37" i="1"/>
  <c r="E37" i="1"/>
  <c r="C37" i="1"/>
  <c r="G30" i="2" l="1"/>
  <c r="D26" i="2"/>
  <c r="D25" i="2"/>
  <c r="E16" i="2"/>
  <c r="E11" i="2" s="1"/>
  <c r="D16" i="2"/>
  <c r="D11" i="2" s="1"/>
  <c r="E10" i="2"/>
  <c r="D10" i="2"/>
  <c r="E9" i="2"/>
  <c r="D9" i="2"/>
  <c r="E7" i="2"/>
  <c r="J82" i="1"/>
  <c r="I82" i="1"/>
  <c r="J81" i="1"/>
  <c r="I81" i="1"/>
  <c r="J83" i="1"/>
  <c r="I83" i="1"/>
  <c r="J79" i="1"/>
  <c r="I79" i="1"/>
  <c r="J84" i="1"/>
  <c r="I84" i="1"/>
  <c r="K66" i="1"/>
  <c r="J66" i="1"/>
  <c r="K65" i="1"/>
  <c r="J65" i="1"/>
  <c r="K64" i="1"/>
  <c r="J64" i="1"/>
  <c r="K63" i="1"/>
  <c r="J63" i="1"/>
  <c r="K62" i="1"/>
  <c r="K34" i="1" s="1"/>
  <c r="J62" i="1"/>
  <c r="J34" i="1" s="1"/>
  <c r="K60" i="1"/>
  <c r="J60" i="1"/>
  <c r="K59" i="1"/>
  <c r="J59" i="1"/>
  <c r="K57" i="1"/>
  <c r="K36" i="1" s="1"/>
  <c r="K58" i="1" s="1"/>
  <c r="J57" i="1"/>
  <c r="J36" i="1" s="1"/>
  <c r="J58" i="1" s="1"/>
  <c r="I42" i="1"/>
  <c r="I71" i="1" s="1"/>
  <c r="K35" i="1"/>
  <c r="K32" i="1"/>
  <c r="J32" i="1"/>
  <c r="E12" i="2" l="1"/>
  <c r="E13" i="2" s="1"/>
  <c r="D12" i="2"/>
  <c r="D13" i="2" s="1"/>
  <c r="D23" i="2" s="1"/>
  <c r="I78" i="1"/>
  <c r="J78" i="1"/>
  <c r="D27" i="2" l="1"/>
  <c r="D28" i="2" s="1"/>
  <c r="I8" i="1"/>
  <c r="I9" i="1"/>
  <c r="J9" i="1"/>
  <c r="I10" i="1"/>
  <c r="J10" i="1"/>
  <c r="I16" i="1"/>
  <c r="J16" i="1"/>
  <c r="I21" i="1"/>
  <c r="D66" i="1"/>
  <c r="E68" i="1"/>
  <c r="D68" i="1"/>
  <c r="E67" i="1"/>
  <c r="D67" i="1"/>
  <c r="E66" i="1"/>
  <c r="E65" i="1"/>
  <c r="D65" i="1"/>
  <c r="E64" i="1"/>
  <c r="D64" i="1"/>
  <c r="E63" i="1"/>
  <c r="D63" i="1"/>
  <c r="E60" i="1"/>
  <c r="D60" i="1"/>
  <c r="E59" i="1"/>
  <c r="D59" i="1"/>
  <c r="E57" i="1"/>
  <c r="D57" i="1"/>
  <c r="E56" i="1"/>
  <c r="D56" i="1"/>
  <c r="E55" i="1"/>
  <c r="E54" i="1"/>
  <c r="D54" i="1"/>
  <c r="I13" i="1"/>
  <c r="I14" i="1" s="1"/>
  <c r="C18" i="1"/>
  <c r="C11" i="1"/>
  <c r="C14" i="1" s="1"/>
  <c r="C16" i="1" s="1"/>
  <c r="E8" i="1"/>
  <c r="E11" i="1" s="1"/>
  <c r="D8" i="1"/>
  <c r="D11" i="1" s="1"/>
  <c r="C7" i="1"/>
  <c r="D55" i="1" s="1"/>
  <c r="E27" i="1"/>
  <c r="E40" i="1"/>
  <c r="E43" i="1"/>
  <c r="D40" i="1"/>
  <c r="D43" i="1"/>
  <c r="D27" i="1"/>
  <c r="C43" i="1"/>
  <c r="C40" i="1"/>
  <c r="C27" i="1"/>
  <c r="C30" i="1"/>
  <c r="J61" i="1" l="1"/>
  <c r="I80" i="1"/>
  <c r="J56" i="1"/>
  <c r="I77" i="1"/>
  <c r="K56" i="1"/>
  <c r="K67" i="1" s="1"/>
  <c r="J77" i="1"/>
  <c r="K61" i="1"/>
  <c r="J80" i="1"/>
  <c r="I17" i="1"/>
  <c r="J33" i="1"/>
  <c r="D14" i="1"/>
  <c r="D16" i="1" s="1"/>
  <c r="J17" i="1"/>
  <c r="K33" i="1"/>
  <c r="E14" i="1"/>
  <c r="E16" i="1" s="1"/>
  <c r="J35" i="1"/>
  <c r="D58" i="1"/>
  <c r="E58" i="1"/>
  <c r="C19" i="1"/>
  <c r="D17" i="1" s="1"/>
  <c r="C34" i="1"/>
  <c r="J67" i="1" l="1"/>
  <c r="J69" i="1" s="1"/>
  <c r="J85" i="1"/>
  <c r="J86" i="1" s="1"/>
  <c r="J87" i="1" s="1"/>
  <c r="I85" i="1"/>
  <c r="I87" i="1" s="1"/>
  <c r="H88" i="1" s="1"/>
  <c r="K68" i="1"/>
  <c r="K69" i="1" s="1"/>
  <c r="I70" i="1" s="1"/>
  <c r="I72" i="1" s="1"/>
  <c r="D61" i="1"/>
  <c r="D19" i="1"/>
  <c r="D39" i="1" s="1"/>
  <c r="D47" i="1" s="1"/>
  <c r="D33" i="1" s="1"/>
  <c r="J31" i="1" s="1"/>
  <c r="J38" i="1" s="1"/>
  <c r="E61" i="1"/>
  <c r="C39" i="1"/>
  <c r="J21" i="1" l="1"/>
  <c r="E17" i="1"/>
  <c r="E19" i="1" s="1"/>
  <c r="E39" i="1" s="1"/>
  <c r="E47" i="1" s="1"/>
  <c r="C47" i="1"/>
  <c r="D30" i="1"/>
  <c r="D34" i="1" s="1"/>
  <c r="I7" i="1"/>
  <c r="I11" i="1" s="1"/>
  <c r="I19" i="1" s="1"/>
  <c r="J13" i="1"/>
  <c r="J14" i="1" s="1"/>
  <c r="J40" i="1"/>
  <c r="J7" i="1"/>
  <c r="J11" i="1" s="1"/>
  <c r="I23" i="1" l="1"/>
  <c r="I22" i="1"/>
  <c r="J19" i="1"/>
  <c r="J22" i="1" l="1"/>
  <c r="E33" i="1" s="1"/>
  <c r="J23" i="1"/>
  <c r="K31" i="1" l="1"/>
  <c r="K38" i="1" s="1"/>
  <c r="E30" i="1"/>
  <c r="E34" i="1" s="1"/>
  <c r="K39" i="1" l="1"/>
  <c r="K40" i="1" l="1"/>
  <c r="I41" i="1" s="1"/>
  <c r="I43" i="1" s="1"/>
</calcChain>
</file>

<file path=xl/sharedStrings.xml><?xml version="1.0" encoding="utf-8"?>
<sst xmlns="http://schemas.openxmlformats.org/spreadsheetml/2006/main" count="236" uniqueCount="180">
  <si>
    <t>QUEEN HYPER (PTY) LTD</t>
  </si>
  <si>
    <t>STATEMENTS OF PROFIT OR LOSS FOR THE YEARS ENDING 30 SEPTEMBER</t>
  </si>
  <si>
    <t>CASHFLOW STATEMENTS FOR THE YEARS ENDING 30 SEPTEMBER</t>
  </si>
  <si>
    <t>Actual</t>
  </si>
  <si>
    <t>Forecast</t>
  </si>
  <si>
    <t>R'000</t>
  </si>
  <si>
    <t>Revenue</t>
  </si>
  <si>
    <t>Cash flows from operating activities</t>
  </si>
  <si>
    <t>Cost of sales</t>
  </si>
  <si>
    <t>Cash generated from operations</t>
  </si>
  <si>
    <t>Gross Profit</t>
  </si>
  <si>
    <t>Interest paid</t>
  </si>
  <si>
    <t>Operating expenses</t>
  </si>
  <si>
    <t>Income taxes paid</t>
  </si>
  <si>
    <t>Depreciation</t>
  </si>
  <si>
    <t>Dividends paid</t>
  </si>
  <si>
    <t>Operating profit</t>
  </si>
  <si>
    <t>Net cash flows from operating activities</t>
  </si>
  <si>
    <t>Interest income</t>
  </si>
  <si>
    <t>Cash flows from investing activities</t>
  </si>
  <si>
    <t>Interest expense</t>
  </si>
  <si>
    <t>Additions to Property, plant and equipment</t>
  </si>
  <si>
    <t>Earnings before tax</t>
  </si>
  <si>
    <t>Net Cash flows from investing activities</t>
  </si>
  <si>
    <t>Income tax</t>
  </si>
  <si>
    <t>Cash flows from financing activities</t>
  </si>
  <si>
    <t>Net profit</t>
  </si>
  <si>
    <t>Repayment on Interest-bearing borrowings</t>
  </si>
  <si>
    <t>Retained income at beginning of year</t>
  </si>
  <si>
    <t>Net Cash flows from financing activities</t>
  </si>
  <si>
    <t>Ordinary dividends declared</t>
  </si>
  <si>
    <t>Retained income at end of year</t>
  </si>
  <si>
    <t>Net Change in cash and Cash Equivalents</t>
  </si>
  <si>
    <t>Cash and cash equivalents at beginning</t>
  </si>
  <si>
    <t>STATEMENTS OF FINANCIAL POSITION AS AT 30 SEPTEMBER</t>
  </si>
  <si>
    <t>Cash and cash equivalents at end of period</t>
  </si>
  <si>
    <t>Net Change</t>
  </si>
  <si>
    <t>ASSETS</t>
  </si>
  <si>
    <t>Non-current assets</t>
  </si>
  <si>
    <t>Free Cashflow Valuation of Queen Hyper (Pty) Ltd</t>
  </si>
  <si>
    <t>Property, Plant and Equipment</t>
  </si>
  <si>
    <t>Period</t>
  </si>
  <si>
    <t>Deferred taxation</t>
  </si>
  <si>
    <t>Current assets</t>
  </si>
  <si>
    <t xml:space="preserve">Balance Sheet Method (Correct valuation) </t>
  </si>
  <si>
    <t>Inventories</t>
  </si>
  <si>
    <t>Cash movement</t>
  </si>
  <si>
    <t>Trade and other receivables</t>
  </si>
  <si>
    <t>Dividends</t>
  </si>
  <si>
    <t>Cash and cash equivalents</t>
  </si>
  <si>
    <t>Repayment of interest-earning borrowings</t>
  </si>
  <si>
    <t>Total assets</t>
  </si>
  <si>
    <t>Reversal of tax on interest</t>
  </si>
  <si>
    <t>EQUITY AND LIABILITIES</t>
  </si>
  <si>
    <t>Maintenance of assets (depreciation increased with inflation)</t>
  </si>
  <si>
    <t>Equity</t>
  </si>
  <si>
    <t>Ordinary share capital</t>
  </si>
  <si>
    <t>FCF</t>
  </si>
  <si>
    <t>Retained earnings</t>
  </si>
  <si>
    <t>Terminal cash flows (Growth of 10% into perpetuity)</t>
  </si>
  <si>
    <t>Non-current Liabilities</t>
  </si>
  <si>
    <t>Total FCF</t>
  </si>
  <si>
    <t>Interest-bearing borrowings</t>
  </si>
  <si>
    <t>Enterprise value @WACC of 16%</t>
  </si>
  <si>
    <t>Debt</t>
  </si>
  <si>
    <t>Current liabilities</t>
  </si>
  <si>
    <t>Equity value</t>
  </si>
  <si>
    <t>Current portion of interest-bearing borrowings</t>
  </si>
  <si>
    <t>Trade and other payables</t>
  </si>
  <si>
    <t>Assumptions</t>
  </si>
  <si>
    <t>Provisions</t>
  </si>
  <si>
    <t>Based on Queen Hyper (Pty) Ltd.'s forecasts</t>
  </si>
  <si>
    <t>Total equity and liabilities</t>
  </si>
  <si>
    <t>Growth into perpetuity of 10%</t>
  </si>
  <si>
    <t>WACC = 16%</t>
  </si>
  <si>
    <t>Maintenance costs = depreciation</t>
  </si>
  <si>
    <t>Book value = Market value of debt</t>
  </si>
  <si>
    <t>2021 Cash and cash equivalents representative of cash requirements</t>
  </si>
  <si>
    <t>QUEEN HYPER (PTY) LTD - ASSUMPTIONS</t>
  </si>
  <si>
    <t>Inflation of 6%</t>
  </si>
  <si>
    <t>Revenue growth</t>
  </si>
  <si>
    <t>Cost of sales growth</t>
  </si>
  <si>
    <t xml:space="preserve">Income statement method (Correct valuation) </t>
  </si>
  <si>
    <t>Operating expense growth</t>
  </si>
  <si>
    <t>Depreciation growth</t>
  </si>
  <si>
    <t>Operating profit growth</t>
  </si>
  <si>
    <t>Maintenance of assets (depreciation adjusted for inflation)</t>
  </si>
  <si>
    <t>Interest income decline</t>
  </si>
  <si>
    <t>Movement in provisions</t>
  </si>
  <si>
    <t>Interest as percentage of outstanding debt</t>
  </si>
  <si>
    <t>Effective tax rate</t>
  </si>
  <si>
    <t>Taxes paid</t>
  </si>
  <si>
    <t>PPE growth</t>
  </si>
  <si>
    <t>Inventories growth</t>
  </si>
  <si>
    <t>Trade receivables</t>
  </si>
  <si>
    <t>Trade and other receivables growth</t>
  </si>
  <si>
    <t>Trade payables</t>
  </si>
  <si>
    <t xml:space="preserve">Decrese in Interest -bearing borrowings </t>
  </si>
  <si>
    <t>Capex</t>
  </si>
  <si>
    <t>Trade and other payables growth</t>
  </si>
  <si>
    <t>Provisions growth</t>
  </si>
  <si>
    <t>Terminal cash flows</t>
  </si>
  <si>
    <t>Inflation</t>
  </si>
  <si>
    <t>WACC</t>
  </si>
  <si>
    <t>Enterprise value</t>
  </si>
  <si>
    <t>FCF Valuation as at 1 October</t>
  </si>
  <si>
    <t>Income statement method</t>
  </si>
  <si>
    <t>Equity value @WACC of 16%</t>
  </si>
  <si>
    <t>Part (a)</t>
  </si>
  <si>
    <t>Cost per KM if MyHyper purchase their own motorcycles and appoint Riders</t>
  </si>
  <si>
    <t>Markers: Calculation could have been done per month or year</t>
  </si>
  <si>
    <t>Per month</t>
  </si>
  <si>
    <t>'OR' Per year</t>
  </si>
  <si>
    <t>Salary of rider</t>
  </si>
  <si>
    <t>Relevant cost of motorcycle</t>
  </si>
  <si>
    <t>((34500*100/115)-(16000*100/115))</t>
  </si>
  <si>
    <t>Insurance</t>
  </si>
  <si>
    <t>((460*100/115)*12)</t>
  </si>
  <si>
    <t>Maintenance</t>
  </si>
  <si>
    <t>(1725*100/115)</t>
  </si>
  <si>
    <t>Cost of fuel</t>
  </si>
  <si>
    <t>Note 1</t>
  </si>
  <si>
    <t>(24552/100*4*15)</t>
  </si>
  <si>
    <t>Total cost</t>
  </si>
  <si>
    <t>P</t>
  </si>
  <si>
    <t>Cost per KM</t>
  </si>
  <si>
    <t>Distance travelled</t>
  </si>
  <si>
    <t>(22*15*6.2*12)</t>
  </si>
  <si>
    <t>Total</t>
  </si>
  <si>
    <t>MAX</t>
  </si>
  <si>
    <t>Awarded</t>
  </si>
  <si>
    <t>Part (b)</t>
  </si>
  <si>
    <t>Per order</t>
  </si>
  <si>
    <t xml:space="preserve">Travel cost </t>
  </si>
  <si>
    <t>(11.2*6,2)</t>
  </si>
  <si>
    <t xml:space="preserve">Average value </t>
  </si>
  <si>
    <t>Average GP% (excluding delivery)</t>
  </si>
  <si>
    <t>(758*30%)</t>
  </si>
  <si>
    <t>Required GP (including delivery)</t>
  </si>
  <si>
    <t>(758*25%)</t>
  </si>
  <si>
    <t>Actual GP if no extra charge</t>
  </si>
  <si>
    <t>(227.40-69.45)</t>
  </si>
  <si>
    <t>Travel cost charged</t>
  </si>
  <si>
    <t>(189.50 - 157.95)</t>
  </si>
  <si>
    <t>Part (c)</t>
  </si>
  <si>
    <t xml:space="preserve">Is revenue growth realistic? Over 20% in the next two years is significant? Are they not running at capacity in their current stores? </t>
  </si>
  <si>
    <t>How does revenue growth compare to prior years growth? Is there a trend? What is the competitive pressure? Is this realistic.</t>
  </si>
  <si>
    <t>PPE growth barely more than inflation? Is it realistic that PPE doesn't really grow in real terms although revenue grows significantly?</t>
  </si>
  <si>
    <t>Why is cost of sales growth in 2023 not in line with revenue growth? Mark-up going to change? As a retailer one would expect some correlatrion between Revenue and Cost of Sales.</t>
  </si>
  <si>
    <t xml:space="preserve">Operating expenses only growing with inflation - this may be reasonable, but not in line with revenue growth unless not operating at capacity. Revenue growth will most likely lead to operating expenses growing more. Is operating costs fixed or variable in nature? </t>
  </si>
  <si>
    <t xml:space="preserve">How can depreciation not grow if PPE grows more than inflation? </t>
  </si>
  <si>
    <t>Doesn't make sense that interest income declines but cash and cash equivalents grow?</t>
  </si>
  <si>
    <t>Cash and Cash equivalents grows significantly. Is this realistic? Cash not reinvested in PPE or paid to shareholders?</t>
  </si>
  <si>
    <t>Why does interest as percentage of debt decrease? Are interest rates expected to decrease further? Interest rates will most likely increase following the COVID lockdown period.</t>
  </si>
  <si>
    <t>Are finance costs decreasing as debt exposure are decreasing? Maybe less financial risk?</t>
  </si>
  <si>
    <t>Inventories should grow in line with cost of sales?</t>
  </si>
  <si>
    <t>Receivables should grow in line with Revenue - however we need to determine what this entails? Don't they only sell on cash?</t>
  </si>
  <si>
    <t>Reasonable to pay back so much debt so quickly?</t>
  </si>
  <si>
    <t>Payables should grow in line with cost of sales?</t>
  </si>
  <si>
    <t>Are the creditors likely to be happy with a 10% increase in outstanding balances in Fy2022? Effect on operations?</t>
  </si>
  <si>
    <t>What provision is raised in 2022? Anything MyHyper should know about?</t>
  </si>
  <si>
    <t>Is the WACC rate reasonable?</t>
  </si>
  <si>
    <t xml:space="preserve">Was the expected operating costs saving excluded? MyHyper cannot pay for the expected synergy in full. </t>
  </si>
  <si>
    <t>Are forecasted dividends reasonable?</t>
  </si>
  <si>
    <t>Why is the tax rate more than 28%? Is this due to timing differences? CGT? No sales of PPE is shown? Also, why is the Deferred Tax balance decreasing: one would expect it to increase with a growing company.</t>
  </si>
  <si>
    <t>Any other valid point</t>
  </si>
  <si>
    <t>Available</t>
  </si>
  <si>
    <t>Max</t>
  </si>
  <si>
    <t>Part (d)</t>
  </si>
  <si>
    <t>Markers: 1 Mark for identification and 1 mark for explanation</t>
  </si>
  <si>
    <t>Depreciation, which is not a cash flow, is included in operating profit and therefore should be reversed. This was omitted.</t>
  </si>
  <si>
    <t>Maintenance of assets was included at the depreciation rate and grown with inflation which seems reasonable. However we need to ensure maintenance costs are not already included in operating costs.</t>
  </si>
  <si>
    <t>Movement in provisions should be reversed as it is not a cash flow although it affected operating profit. The adjustment was done in the incorrect direction.</t>
  </si>
  <si>
    <t>Interest income should be included if cash are seen as operational in nature. Interest income was omitted. If cash is seen as non-operational, the current balance should have been added to the valuation.</t>
  </si>
  <si>
    <t>The tax benefit on finance costs should be reversed as the tax benefit relates to the financing costs which are not included in the valuation, but which are included (together with the relevant tax benefit) in the WACC instead. This adjustment was omitted.</t>
  </si>
  <si>
    <t>Interest income is excluded as cash and cash equivalents treated as non-operational, thus the tax effect on interest income should be reversed.</t>
  </si>
  <si>
    <t>The movement in inventory and trade receivables was performed in the wrong direction - an increase in inventory denotes a decrease in cash (more is invested in the asset) and thus the movement should have been a cash outflow. Ditto for the movement in debtors.</t>
  </si>
  <si>
    <t>The final value calculated represents the enterprise value (i.e. asset value); therefore the market value debt still needs to be deducted in order to derive at the equity value.</t>
  </si>
  <si>
    <t>Is the WACC of 16% appropriate? Maybe use acquirers WACC?</t>
  </si>
  <si>
    <t>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</si>
</sst>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i/>
      <sz val="10"/>
      <color theme="1"/>
      <name val="Calibri"/>
      <family val="2"/>
      <scheme val="minor"/>
    </font>
    <font>
      <sz val="11"/>
      <color rgb="FFFF0000"/>
      <name val="Calibri"/>
      <family val="2"/>
      <scheme val="minor"/>
    </font>
    <font>
      <sz val="11"/>
      <color rgb="FF00B0F0"/>
      <name val="Calibri"/>
      <family val="2"/>
      <scheme val="minor"/>
    </font>
    <font>
      <sz val="11"/>
      <name val="Arial"/>
      <family val="2"/>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2" fillId="0" borderId="1" xfId="0" applyFont="1" applyBorder="1" applyAlignment="1">
      <alignment horizontal="center"/>
    </xf>
    <xf numFmtId="0" fontId="0" fillId="0" borderId="11" xfId="0" applyBorder="1"/>
    <xf numFmtId="0" fontId="0" fillId="0" borderId="13" xfId="0" applyBorder="1"/>
    <xf numFmtId="0" fontId="2" fillId="0" borderId="0" xfId="0" applyFont="1"/>
    <xf numFmtId="164" fontId="0" fillId="0" borderId="0" xfId="1" applyNumberFormat="1" applyFont="1" applyFill="1" applyBorder="1"/>
    <xf numFmtId="0" fontId="0" fillId="0" borderId="14" xfId="0" applyBorder="1"/>
    <xf numFmtId="0" fontId="2" fillId="0" borderId="2" xfId="0" applyFont="1" applyBorder="1" applyAlignment="1">
      <alignment horizontal="center"/>
    </xf>
    <xf numFmtId="164" fontId="0" fillId="0" borderId="7" xfId="1" applyNumberFormat="1" applyFont="1" applyFill="1" applyBorder="1"/>
    <xf numFmtId="164" fontId="0" fillId="0" borderId="13" xfId="1" applyNumberFormat="1" applyFont="1" applyFill="1" applyBorder="1"/>
    <xf numFmtId="0" fontId="0" fillId="0" borderId="7" xfId="0" applyBorder="1"/>
    <xf numFmtId="164" fontId="0" fillId="0" borderId="9" xfId="1" applyNumberFormat="1" applyFont="1" applyFill="1" applyBorder="1"/>
    <xf numFmtId="164" fontId="0" fillId="0" borderId="15" xfId="1" applyNumberFormat="1" applyFont="1" applyFill="1" applyBorder="1"/>
    <xf numFmtId="164" fontId="0" fillId="0" borderId="11" xfId="0" applyNumberFormat="1" applyBorder="1"/>
    <xf numFmtId="164" fontId="0" fillId="0" borderId="14" xfId="0" applyNumberFormat="1" applyBorder="1"/>
    <xf numFmtId="164" fontId="0" fillId="0" borderId="0" xfId="0" applyNumberFormat="1"/>
    <xf numFmtId="164" fontId="0" fillId="0" borderId="11" xfId="1" applyNumberFormat="1" applyFont="1" applyFill="1" applyBorder="1"/>
    <xf numFmtId="164" fontId="0" fillId="0" borderId="14" xfId="1" applyNumberFormat="1" applyFont="1" applyFill="1" applyBorder="1"/>
    <xf numFmtId="164" fontId="0" fillId="0" borderId="15" xfId="0" applyNumberFormat="1" applyBorder="1"/>
    <xf numFmtId="164" fontId="0" fillId="0" borderId="17" xfId="0" applyNumberFormat="1" applyBorder="1"/>
    <xf numFmtId="164" fontId="0" fillId="0" borderId="16" xfId="0" applyNumberFormat="1" applyBorder="1"/>
    <xf numFmtId="164" fontId="3" fillId="0" borderId="11" xfId="1" applyNumberFormat="1" applyFont="1" applyFill="1" applyBorder="1"/>
    <xf numFmtId="164" fontId="0" fillId="0" borderId="2" xfId="1" applyNumberFormat="1" applyFont="1" applyFill="1" applyBorder="1"/>
    <xf numFmtId="164" fontId="0" fillId="0" borderId="1" xfId="1" applyNumberFormat="1" applyFont="1" applyFill="1" applyBorder="1"/>
    <xf numFmtId="164" fontId="2" fillId="0" borderId="11" xfId="0" applyNumberFormat="1" applyFont="1" applyBorder="1"/>
    <xf numFmtId="164" fontId="2" fillId="0" borderId="14" xfId="0" applyNumberFormat="1" applyFont="1" applyBorder="1"/>
    <xf numFmtId="0" fontId="0" fillId="0" borderId="15" xfId="0" applyBorder="1"/>
    <xf numFmtId="0" fontId="0" fillId="0" borderId="9" xfId="0" applyBorder="1"/>
    <xf numFmtId="0" fontId="0" fillId="0" borderId="5" xfId="0" applyBorder="1"/>
    <xf numFmtId="0" fontId="0" fillId="0" borderId="10" xfId="0" applyBorder="1"/>
    <xf numFmtId="164" fontId="2" fillId="0" borderId="14" xfId="1" applyNumberFormat="1" applyFont="1" applyFill="1" applyBorder="1"/>
    <xf numFmtId="164" fontId="0" fillId="0" borderId="13" xfId="0" applyNumberFormat="1" applyBorder="1"/>
    <xf numFmtId="164" fontId="2" fillId="0" borderId="1" xfId="1" applyNumberFormat="1" applyFont="1" applyFill="1" applyBorder="1"/>
    <xf numFmtId="164" fontId="0" fillId="0" borderId="12" xfId="1" applyNumberFormat="1" applyFont="1" applyFill="1" applyBorder="1"/>
    <xf numFmtId="164" fontId="0" fillId="0" borderId="6" xfId="1" applyNumberFormat="1" applyFont="1" applyFill="1" applyBorder="1"/>
    <xf numFmtId="164" fontId="0" fillId="0" borderId="8" xfId="1" applyNumberFormat="1" applyFont="1" applyFill="1" applyBorder="1"/>
    <xf numFmtId="164" fontId="0" fillId="0" borderId="5" xfId="1" applyNumberFormat="1" applyFont="1" applyFill="1" applyBorder="1"/>
    <xf numFmtId="164" fontId="0" fillId="0" borderId="10" xfId="1" applyNumberFormat="1" applyFont="1" applyFill="1" applyBorder="1"/>
    <xf numFmtId="164" fontId="2" fillId="0" borderId="11" xfId="1" applyNumberFormat="1" applyFont="1" applyFill="1" applyBorder="1"/>
    <xf numFmtId="164" fontId="2" fillId="0" borderId="0" xfId="1" applyNumberFormat="1" applyFont="1" applyFill="1" applyBorder="1"/>
    <xf numFmtId="164" fontId="2" fillId="0" borderId="12" xfId="1" applyNumberFormat="1" applyFont="1" applyFill="1" applyBorder="1"/>
    <xf numFmtId="164" fontId="0" fillId="0" borderId="18" xfId="0" applyNumberFormat="1" applyBorder="1"/>
    <xf numFmtId="164" fontId="2" fillId="0" borderId="2" xfId="1" applyNumberFormat="1" applyFont="1" applyFill="1" applyBorder="1"/>
    <xf numFmtId="164" fontId="2" fillId="0" borderId="3" xfId="1" applyNumberFormat="1" applyFont="1" applyFill="1" applyBorder="1"/>
    <xf numFmtId="164" fontId="2" fillId="0" borderId="4" xfId="1" applyNumberFormat="1" applyFont="1" applyFill="1" applyBorder="1"/>
    <xf numFmtId="0" fontId="2" fillId="0" borderId="11" xfId="0" applyFont="1" applyBorder="1"/>
    <xf numFmtId="164" fontId="0" fillId="0" borderId="5" xfId="0" applyNumberFormat="1" applyBorder="1"/>
    <xf numFmtId="164" fontId="0" fillId="0" borderId="10" xfId="0" applyNumberFormat="1" applyBorder="1"/>
    <xf numFmtId="0" fontId="2" fillId="0" borderId="4" xfId="0" applyFont="1" applyBorder="1" applyAlignment="1">
      <alignment horizontal="center"/>
    </xf>
    <xf numFmtId="38" fontId="0" fillId="0" borderId="18" xfId="0" applyNumberFormat="1" applyBorder="1"/>
    <xf numFmtId="0" fontId="0" fillId="0" borderId="6" xfId="0" applyBorder="1"/>
    <xf numFmtId="0" fontId="0" fillId="0" borderId="8" xfId="0" applyBorder="1"/>
    <xf numFmtId="10" fontId="0" fillId="0" borderId="0" xfId="2" applyNumberFormat="1" applyFont="1" applyFill="1" applyBorder="1"/>
    <xf numFmtId="10" fontId="0" fillId="0" borderId="12" xfId="2" applyNumberFormat="1" applyFont="1" applyFill="1" applyBorder="1"/>
    <xf numFmtId="0" fontId="0" fillId="0" borderId="12" xfId="0" applyBorder="1"/>
    <xf numFmtId="0" fontId="2" fillId="0" borderId="0" xfId="0" applyFont="1" applyAlignment="1">
      <alignment horizontal="center"/>
    </xf>
    <xf numFmtId="0" fontId="2" fillId="0" borderId="12" xfId="0" applyFont="1" applyBorder="1" applyAlignment="1">
      <alignment horizontal="center"/>
    </xf>
    <xf numFmtId="164" fontId="0" fillId="0" borderId="19" xfId="0" applyNumberFormat="1" applyBorder="1"/>
    <xf numFmtId="38" fontId="0" fillId="0" borderId="0" xfId="0" applyNumberFormat="1"/>
    <xf numFmtId="0" fontId="2" fillId="0" borderId="7" xfId="0" applyFont="1" applyBorder="1"/>
    <xf numFmtId="164" fontId="0" fillId="0" borderId="18" xfId="1" applyNumberFormat="1" applyFont="1" applyFill="1" applyBorder="1"/>
    <xf numFmtId="164" fontId="0" fillId="0" borderId="19" xfId="1" applyNumberFormat="1" applyFont="1" applyFill="1" applyBorder="1"/>
    <xf numFmtId="38" fontId="0" fillId="0" borderId="5" xfId="0" applyNumberFormat="1" applyBorder="1"/>
    <xf numFmtId="44" fontId="0" fillId="0" borderId="0" xfId="3" applyFont="1"/>
    <xf numFmtId="44" fontId="0" fillId="0" borderId="0" xfId="3" applyFont="1" applyFill="1" applyBorder="1"/>
    <xf numFmtId="44" fontId="0" fillId="0" borderId="0" xfId="3" applyFont="1" applyBorder="1"/>
    <xf numFmtId="9" fontId="0" fillId="0" borderId="5" xfId="0" applyNumberFormat="1" applyBorder="1"/>
    <xf numFmtId="9" fontId="0" fillId="0" borderId="10" xfId="0" applyNumberFormat="1" applyBorder="1"/>
    <xf numFmtId="9" fontId="0" fillId="0" borderId="0" xfId="3" applyNumberFormat="1" applyFont="1" applyBorder="1"/>
    <xf numFmtId="9" fontId="0" fillId="0" borderId="12" xfId="3" applyNumberFormat="1" applyFont="1" applyBorder="1"/>
    <xf numFmtId="37" fontId="0" fillId="0" borderId="14" xfId="3" applyNumberFormat="1" applyFont="1" applyFill="1" applyBorder="1"/>
    <xf numFmtId="164" fontId="0" fillId="0" borderId="18" xfId="1" applyNumberFormat="1" applyFont="1" applyBorder="1"/>
    <xf numFmtId="0" fontId="0" fillId="0" borderId="20" xfId="0" applyBorder="1"/>
    <xf numFmtId="0" fontId="2" fillId="0" borderId="20" xfId="0" applyFont="1" applyBorder="1" applyAlignment="1">
      <alignment horizontal="center"/>
    </xf>
    <xf numFmtId="43" fontId="0" fillId="0" borderId="0" xfId="0" applyNumberFormat="1"/>
    <xf numFmtId="0" fontId="5" fillId="0" borderId="0" xfId="0" quotePrefix="1" applyFont="1"/>
    <xf numFmtId="0" fontId="2" fillId="0" borderId="0" xfId="0" quotePrefix="1" applyFont="1"/>
    <xf numFmtId="164" fontId="0" fillId="0" borderId="0" xfId="1" applyNumberFormat="1" applyFont="1" applyBorder="1"/>
    <xf numFmtId="43" fontId="0" fillId="0" borderId="0" xfId="1" applyFont="1" applyBorder="1"/>
    <xf numFmtId="0" fontId="5" fillId="0" borderId="0" xfId="0" applyFont="1"/>
    <xf numFmtId="0" fontId="0" fillId="0" borderId="0" xfId="0" applyAlignment="1">
      <alignment wrapText="1"/>
    </xf>
    <xf numFmtId="0" fontId="2" fillId="0" borderId="0" xfId="0" applyFont="1" applyAlignment="1">
      <alignment wrapText="1"/>
    </xf>
    <xf numFmtId="0" fontId="6" fillId="0" borderId="0" xfId="0" applyFont="1"/>
    <xf numFmtId="165" fontId="6" fillId="0" borderId="0" xfId="0" applyNumberFormat="1" applyFont="1"/>
    <xf numFmtId="3" fontId="0" fillId="0" borderId="0" xfId="0" applyNumberFormat="1"/>
    <xf numFmtId="0" fontId="7" fillId="0" borderId="0" xfId="0" applyFont="1"/>
    <xf numFmtId="0" fontId="6" fillId="0" borderId="0" xfId="0" applyFont="1" applyAlignment="1">
      <alignment horizontal="left" wrapText="1"/>
    </xf>
    <xf numFmtId="164" fontId="2" fillId="0" borderId="2" xfId="0" applyNumberFormat="1" applyFont="1" applyBorder="1"/>
    <xf numFmtId="0" fontId="2" fillId="0" borderId="2" xfId="0" applyFont="1" applyBorder="1" applyAlignment="1">
      <alignment horizontal="center" wrapText="1" shrinkToFit="1"/>
    </xf>
    <xf numFmtId="0" fontId="2" fillId="0" borderId="3" xfId="0" applyFont="1" applyBorder="1" applyAlignment="1">
      <alignment horizontal="center" wrapText="1" shrinkToFit="1"/>
    </xf>
    <xf numFmtId="0" fontId="2" fillId="0" borderId="4" xfId="0" applyFont="1" applyBorder="1" applyAlignment="1">
      <alignment horizontal="center" wrapText="1" shrinkToFit="1"/>
    </xf>
    <xf numFmtId="0" fontId="8" fillId="0" borderId="0" xfId="0" applyFont="1" applyAlignment="1">
      <alignment wrapText="1"/>
    </xf>
    <xf numFmtId="0" fontId="3" fillId="0" borderId="0" xfId="0" applyFont="1" applyAlignment="1">
      <alignment horizontal="left" wrapText="1"/>
    </xf>
    <xf numFmtId="0" fontId="3" fillId="0" borderId="21" xfId="0" applyFont="1" applyBorder="1" applyAlignment="1">
      <alignment horizontal="left" wrapText="1"/>
    </xf>
    <xf numFmtId="0" fontId="0" fillId="0" borderId="0" xfId="0" applyAlignment="1">
      <alignment wrapText="1"/>
    </xf>
    <xf numFmtId="0" fontId="6" fillId="0" borderId="0" xfId="0" applyFont="1" applyAlignment="1">
      <alignment horizontal="left" wrapText="1"/>
    </xf>
    <xf numFmtId="0" fontId="4" fillId="0" borderId="11" xfId="0" applyFont="1" applyBorder="1" applyAlignment="1">
      <alignment horizontal="center" wrapText="1"/>
    </xf>
    <xf numFmtId="0" fontId="4" fillId="0" borderId="0" xfId="0" applyFont="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9"/>
  <sheetViews>
    <sheetView topLeftCell="C71" zoomScaleNormal="100" workbookViewId="0">
      <selection activeCell="G31" sqref="G31"/>
    </sheetView>
  </sheetViews>
  <sheetFormatPr defaultColWidth="8.85546875" defaultRowHeight="14.45"/>
  <cols>
    <col min="1" max="1" width="45.42578125" customWidth="1"/>
    <col min="2" max="2" width="8.42578125" customWidth="1"/>
    <col min="3" max="3" width="11.5703125" bestFit="1" customWidth="1"/>
    <col min="4" max="4" width="12.42578125" bestFit="1" customWidth="1"/>
    <col min="5" max="5" width="12.42578125" customWidth="1"/>
    <col min="7" max="7" width="51.5703125" customWidth="1"/>
    <col min="8" max="8" width="10.42578125" customWidth="1"/>
    <col min="9" max="9" width="14.85546875" customWidth="1"/>
    <col min="10" max="10" width="14.5703125" customWidth="1"/>
    <col min="11" max="11" width="12.28515625" customWidth="1"/>
    <col min="12" max="12" width="10.42578125" customWidth="1"/>
    <col min="14" max="14" width="23.140625" customWidth="1"/>
    <col min="15" max="15" width="10" customWidth="1"/>
    <col min="16" max="16" width="9.42578125" customWidth="1"/>
  </cols>
  <sheetData>
    <row r="1" spans="1:17" ht="14.45" customHeight="1">
      <c r="A1" s="88" t="s">
        <v>0</v>
      </c>
      <c r="B1" s="89"/>
      <c r="C1" s="89"/>
      <c r="D1" s="89"/>
      <c r="E1" s="90"/>
      <c r="G1" s="88" t="s">
        <v>0</v>
      </c>
      <c r="H1" s="89"/>
      <c r="I1" s="89"/>
      <c r="J1" s="90"/>
    </row>
    <row r="2" spans="1:17" ht="32.1" customHeight="1">
      <c r="A2" s="88" t="s">
        <v>1</v>
      </c>
      <c r="B2" s="89"/>
      <c r="C2" s="89"/>
      <c r="D2" s="89"/>
      <c r="E2" s="90"/>
      <c r="G2" s="88" t="s">
        <v>2</v>
      </c>
      <c r="H2" s="89"/>
      <c r="I2" s="89"/>
      <c r="J2" s="90"/>
    </row>
    <row r="3" spans="1:17">
      <c r="A3" s="2"/>
      <c r="B3" s="7"/>
      <c r="C3" s="1" t="s">
        <v>3</v>
      </c>
      <c r="D3" s="1" t="s">
        <v>4</v>
      </c>
      <c r="E3" s="48" t="s">
        <v>4</v>
      </c>
      <c r="G3" s="2"/>
      <c r="H3" s="7"/>
      <c r="I3" s="1" t="s">
        <v>4</v>
      </c>
      <c r="J3" s="48" t="s">
        <v>4</v>
      </c>
    </row>
    <row r="4" spans="1:17">
      <c r="A4" s="2"/>
      <c r="B4" s="3"/>
      <c r="C4" s="1">
        <v>2021</v>
      </c>
      <c r="D4" s="1">
        <v>2022</v>
      </c>
      <c r="E4" s="1">
        <v>2023</v>
      </c>
      <c r="G4" s="2"/>
      <c r="H4" s="3"/>
      <c r="I4" s="1">
        <v>2022</v>
      </c>
      <c r="J4" s="1">
        <v>2023</v>
      </c>
    </row>
    <row r="5" spans="1:17">
      <c r="A5" s="2"/>
      <c r="B5" s="6"/>
      <c r="C5" s="7" t="s">
        <v>5</v>
      </c>
      <c r="D5" s="7" t="s">
        <v>5</v>
      </c>
      <c r="E5" s="1" t="s">
        <v>5</v>
      </c>
      <c r="G5" s="2"/>
      <c r="H5" s="6"/>
      <c r="I5" s="7" t="s">
        <v>5</v>
      </c>
      <c r="J5" s="1" t="s">
        <v>5</v>
      </c>
    </row>
    <row r="6" spans="1:17">
      <c r="A6" s="2" t="s">
        <v>6</v>
      </c>
      <c r="B6" s="6"/>
      <c r="C6" s="8">
        <v>899281</v>
      </c>
      <c r="D6" s="8">
        <v>1085254</v>
      </c>
      <c r="E6" s="9">
        <v>1322010</v>
      </c>
      <c r="G6" s="45" t="s">
        <v>7</v>
      </c>
      <c r="H6" s="6"/>
      <c r="I6" s="10"/>
      <c r="J6" s="3"/>
    </row>
    <row r="7" spans="1:17">
      <c r="A7" s="2" t="s">
        <v>8</v>
      </c>
      <c r="B7" s="6"/>
      <c r="C7" s="11">
        <f>C8-C6</f>
        <v>-697830</v>
      </c>
      <c r="D7" s="11">
        <v>-841727</v>
      </c>
      <c r="E7" s="12">
        <v>-993005</v>
      </c>
      <c r="G7" s="2" t="s">
        <v>9</v>
      </c>
      <c r="H7" s="6"/>
      <c r="I7" s="13">
        <f>J56+J57+J59+J60+J63+J64+J65</f>
        <v>78860</v>
      </c>
      <c r="J7" s="14">
        <f>K56+K57+K59+K60+K63+K64+K65</f>
        <v>152359</v>
      </c>
      <c r="K7" s="15"/>
    </row>
    <row r="8" spans="1:17">
      <c r="A8" s="2" t="s">
        <v>10</v>
      </c>
      <c r="B8" s="6"/>
      <c r="C8" s="16">
        <v>201451</v>
      </c>
      <c r="D8" s="16">
        <f>D6+D7</f>
        <v>243527</v>
      </c>
      <c r="E8" s="17">
        <f>E6+E7</f>
        <v>329005</v>
      </c>
      <c r="G8" s="2" t="s">
        <v>11</v>
      </c>
      <c r="H8" s="6"/>
      <c r="I8" s="16">
        <f>-6890</f>
        <v>-6890</v>
      </c>
      <c r="J8" s="17">
        <v>-5130</v>
      </c>
      <c r="L8" s="15"/>
      <c r="M8" s="15"/>
    </row>
    <row r="9" spans="1:17">
      <c r="A9" s="2" t="s">
        <v>12</v>
      </c>
      <c r="B9" s="6"/>
      <c r="C9" s="16">
        <v>-159045</v>
      </c>
      <c r="D9" s="16">
        <v>-168587</v>
      </c>
      <c r="E9" s="17">
        <v>-178702</v>
      </c>
      <c r="G9" s="2" t="s">
        <v>13</v>
      </c>
      <c r="H9" s="6"/>
      <c r="I9" s="13">
        <f>D15-(C42-D42)</f>
        <v>-19798</v>
      </c>
      <c r="J9" s="14">
        <f>E15-(D42-E42)</f>
        <v>-37985</v>
      </c>
    </row>
    <row r="10" spans="1:17">
      <c r="A10" s="2" t="s">
        <v>14</v>
      </c>
      <c r="B10" s="6"/>
      <c r="C10" s="11">
        <v>-13548</v>
      </c>
      <c r="D10" s="11">
        <v>-13548</v>
      </c>
      <c r="E10" s="12">
        <v>-13548</v>
      </c>
      <c r="G10" s="2" t="s">
        <v>15</v>
      </c>
      <c r="H10" s="6"/>
      <c r="I10" s="13">
        <f>D18</f>
        <v>-4040</v>
      </c>
      <c r="J10" s="18">
        <f>E18</f>
        <v>-4040</v>
      </c>
    </row>
    <row r="11" spans="1:17" ht="15" thickBot="1">
      <c r="A11" s="2" t="s">
        <v>16</v>
      </c>
      <c r="B11" s="6"/>
      <c r="C11" s="16">
        <f>SUM(C8:C10)</f>
        <v>28858</v>
      </c>
      <c r="D11" s="16">
        <f>D8+D9+D10</f>
        <v>61392</v>
      </c>
      <c r="E11" s="17">
        <f>SUM(E8:E10)</f>
        <v>136755</v>
      </c>
      <c r="G11" s="2" t="s">
        <v>17</v>
      </c>
      <c r="H11" s="6"/>
      <c r="I11" s="19">
        <f>SUM(I7:I10)</f>
        <v>48132</v>
      </c>
      <c r="J11" s="20">
        <f>SUM(J7:J10)</f>
        <v>105204</v>
      </c>
    </row>
    <row r="12" spans="1:17" ht="15" thickTop="1">
      <c r="A12" s="2" t="s">
        <v>18</v>
      </c>
      <c r="B12" s="6"/>
      <c r="C12" s="16">
        <v>620</v>
      </c>
      <c r="D12" s="16">
        <v>580</v>
      </c>
      <c r="E12" s="17">
        <v>410</v>
      </c>
      <c r="G12" s="45" t="s">
        <v>19</v>
      </c>
      <c r="H12" s="6"/>
      <c r="I12" s="2"/>
      <c r="J12" s="6"/>
      <c r="P12" s="15"/>
      <c r="Q12" s="15"/>
    </row>
    <row r="13" spans="1:17">
      <c r="A13" s="2" t="s">
        <v>20</v>
      </c>
      <c r="B13" s="6"/>
      <c r="C13" s="11">
        <v>-7350</v>
      </c>
      <c r="D13" s="11">
        <v>-6890</v>
      </c>
      <c r="E13" s="12">
        <v>-5130</v>
      </c>
      <c r="G13" s="2" t="s">
        <v>21</v>
      </c>
      <c r="H13" s="6"/>
      <c r="I13" s="13">
        <f>J66</f>
        <v>-20150</v>
      </c>
      <c r="J13" s="14">
        <f>K66</f>
        <v>-22379</v>
      </c>
    </row>
    <row r="14" spans="1:17" ht="15" thickBot="1">
      <c r="A14" s="2" t="s">
        <v>22</v>
      </c>
      <c r="B14" s="6"/>
      <c r="C14" s="16">
        <f>C11+C12+C13</f>
        <v>22128</v>
      </c>
      <c r="D14" s="16">
        <f>D11+D12+D13</f>
        <v>55082</v>
      </c>
      <c r="E14" s="17">
        <f>E11+E12+E13</f>
        <v>132035</v>
      </c>
      <c r="G14" s="2" t="s">
        <v>23</v>
      </c>
      <c r="H14" s="6"/>
      <c r="I14" s="19">
        <f>I13</f>
        <v>-20150</v>
      </c>
      <c r="J14" s="20">
        <f>J13</f>
        <v>-22379</v>
      </c>
    </row>
    <row r="15" spans="1:17" ht="15" thickTop="1">
      <c r="A15" s="2" t="s">
        <v>24</v>
      </c>
      <c r="B15" s="6"/>
      <c r="C15" s="11">
        <v>-7680</v>
      </c>
      <c r="D15" s="11">
        <v>-17578</v>
      </c>
      <c r="E15" s="12">
        <v>-36915</v>
      </c>
      <c r="G15" s="45" t="s">
        <v>25</v>
      </c>
      <c r="H15" s="6"/>
      <c r="I15" s="2"/>
      <c r="J15" s="6"/>
    </row>
    <row r="16" spans="1:17">
      <c r="A16" s="2" t="s">
        <v>26</v>
      </c>
      <c r="B16" s="6"/>
      <c r="C16" s="16">
        <f>C14+C15</f>
        <v>14448</v>
      </c>
      <c r="D16" s="16">
        <f>D14+D15</f>
        <v>37504</v>
      </c>
      <c r="E16" s="9">
        <f>E14+E15</f>
        <v>95120</v>
      </c>
      <c r="G16" s="2" t="s">
        <v>27</v>
      </c>
      <c r="H16" s="6"/>
      <c r="I16" s="13">
        <f>((C41+C44)-(D41+D44))*-1</f>
        <v>-16000</v>
      </c>
      <c r="J16" s="14">
        <f>((D41+D44)-(E41+E44))*-1</f>
        <v>-4890</v>
      </c>
    </row>
    <row r="17" spans="1:11" ht="15" thickBot="1">
      <c r="A17" s="2" t="s">
        <v>28</v>
      </c>
      <c r="B17" s="6"/>
      <c r="C17" s="21">
        <v>3372</v>
      </c>
      <c r="D17" s="16">
        <f>C19</f>
        <v>13780</v>
      </c>
      <c r="E17" s="17">
        <f>D19</f>
        <v>47244</v>
      </c>
      <c r="G17" s="2" t="s">
        <v>29</v>
      </c>
      <c r="H17" s="6"/>
      <c r="I17" s="19">
        <f>I16</f>
        <v>-16000</v>
      </c>
      <c r="J17" s="20">
        <f>J16</f>
        <v>-4890</v>
      </c>
    </row>
    <row r="18" spans="1:11" ht="15" thickTop="1">
      <c r="A18" s="2" t="s">
        <v>30</v>
      </c>
      <c r="B18" s="6"/>
      <c r="C18" s="16">
        <f>-4040</f>
        <v>-4040</v>
      </c>
      <c r="D18" s="16">
        <v>-4040</v>
      </c>
      <c r="E18" s="12">
        <v>-4040</v>
      </c>
      <c r="G18" s="2"/>
      <c r="H18" s="6"/>
      <c r="I18" s="2"/>
      <c r="J18" s="6"/>
    </row>
    <row r="19" spans="1:11">
      <c r="A19" s="2" t="s">
        <v>31</v>
      </c>
      <c r="B19" s="6"/>
      <c r="C19" s="22">
        <f>C16+C17+C18</f>
        <v>13780</v>
      </c>
      <c r="D19" s="22">
        <f>D16+D17+D18</f>
        <v>47244</v>
      </c>
      <c r="E19" s="23">
        <f>E16+E17+E18</f>
        <v>138324</v>
      </c>
      <c r="G19" s="45" t="s">
        <v>32</v>
      </c>
      <c r="H19" s="6"/>
      <c r="I19" s="24">
        <f>I11+I14+I17</f>
        <v>11982</v>
      </c>
      <c r="J19" s="25">
        <f>J11+J14+J17</f>
        <v>77935</v>
      </c>
    </row>
    <row r="20" spans="1:11">
      <c r="A20" s="27"/>
      <c r="B20" s="26"/>
      <c r="C20" s="27"/>
      <c r="D20" s="28"/>
      <c r="E20" s="29"/>
      <c r="G20" s="2"/>
      <c r="H20" s="6"/>
      <c r="I20" s="2"/>
      <c r="J20" s="6"/>
    </row>
    <row r="21" spans="1:11">
      <c r="A21" s="88" t="s">
        <v>0</v>
      </c>
      <c r="B21" s="89"/>
      <c r="C21" s="89"/>
      <c r="D21" s="89"/>
      <c r="E21" s="90"/>
      <c r="G21" s="2" t="s">
        <v>33</v>
      </c>
      <c r="H21" s="6"/>
      <c r="I21" s="13">
        <f>C33</f>
        <v>16520</v>
      </c>
      <c r="J21" s="14">
        <f>D33</f>
        <v>28502</v>
      </c>
    </row>
    <row r="22" spans="1:11" ht="20.100000000000001" customHeight="1">
      <c r="A22" s="88" t="s">
        <v>34</v>
      </c>
      <c r="B22" s="89"/>
      <c r="C22" s="89"/>
      <c r="D22" s="89"/>
      <c r="E22" s="90"/>
      <c r="G22" s="2" t="s">
        <v>35</v>
      </c>
      <c r="H22" s="6"/>
      <c r="I22" s="13">
        <f>I21+I19</f>
        <v>28502</v>
      </c>
      <c r="J22" s="14">
        <f>J21+J19</f>
        <v>106437</v>
      </c>
    </row>
    <row r="23" spans="1:11" ht="15" thickBot="1">
      <c r="A23" s="2"/>
      <c r="B23" s="7"/>
      <c r="C23" s="1" t="s">
        <v>3</v>
      </c>
      <c r="D23" s="1" t="s">
        <v>4</v>
      </c>
      <c r="E23" s="48" t="s">
        <v>4</v>
      </c>
      <c r="G23" s="45" t="s">
        <v>36</v>
      </c>
      <c r="H23" s="26"/>
      <c r="I23" s="19">
        <f>I19</f>
        <v>11982</v>
      </c>
      <c r="J23" s="20">
        <f>J19</f>
        <v>77935</v>
      </c>
    </row>
    <row r="24" spans="1:11" ht="15" thickTop="1">
      <c r="A24" s="2"/>
      <c r="B24" s="3"/>
      <c r="C24" s="1">
        <v>2021</v>
      </c>
      <c r="D24" s="1">
        <v>2022</v>
      </c>
      <c r="E24" s="1">
        <v>2023</v>
      </c>
      <c r="G24" s="27"/>
      <c r="H24" s="28"/>
      <c r="I24" s="28"/>
      <c r="J24" s="29"/>
    </row>
    <row r="25" spans="1:11">
      <c r="A25" s="2"/>
      <c r="B25" s="6"/>
      <c r="C25" s="7" t="s">
        <v>5</v>
      </c>
      <c r="D25" s="7" t="s">
        <v>5</v>
      </c>
      <c r="E25" s="1" t="s">
        <v>5</v>
      </c>
    </row>
    <row r="26" spans="1:11">
      <c r="A26" s="45" t="s">
        <v>37</v>
      </c>
      <c r="B26" s="6"/>
      <c r="C26" s="3"/>
      <c r="D26" s="3"/>
      <c r="E26" s="3"/>
      <c r="G26" s="10"/>
      <c r="H26" s="50"/>
      <c r="I26" s="50"/>
      <c r="J26" s="50"/>
      <c r="K26" s="51"/>
    </row>
    <row r="27" spans="1:11">
      <c r="A27" s="45" t="s">
        <v>38</v>
      </c>
      <c r="B27" s="6"/>
      <c r="C27" s="30">
        <f>SUM(C28:C29)</f>
        <v>106023</v>
      </c>
      <c r="D27" s="30">
        <f>SUM(D28:D29)</f>
        <v>112625</v>
      </c>
      <c r="E27" s="30">
        <f>SUM(E28:E29)</f>
        <v>121456</v>
      </c>
      <c r="G27" s="45" t="s">
        <v>39</v>
      </c>
      <c r="K27" s="54"/>
    </row>
    <row r="28" spans="1:11">
      <c r="A28" s="2" t="s">
        <v>40</v>
      </c>
      <c r="B28" s="6"/>
      <c r="C28" s="9">
        <v>106023</v>
      </c>
      <c r="D28" s="9">
        <v>112625</v>
      </c>
      <c r="E28" s="9">
        <v>121456</v>
      </c>
      <c r="G28" s="45" t="s">
        <v>41</v>
      </c>
      <c r="H28" s="4"/>
      <c r="I28" s="55">
        <v>0</v>
      </c>
      <c r="J28" s="55">
        <v>1</v>
      </c>
      <c r="K28" s="56">
        <v>2</v>
      </c>
    </row>
    <row r="29" spans="1:11">
      <c r="A29" s="2" t="s">
        <v>42</v>
      </c>
      <c r="B29" s="6"/>
      <c r="C29" s="12">
        <v>0</v>
      </c>
      <c r="D29" s="12">
        <v>0</v>
      </c>
      <c r="E29" s="12">
        <v>0</v>
      </c>
      <c r="G29" s="45"/>
      <c r="H29" s="4"/>
      <c r="I29" s="7" t="s">
        <v>5</v>
      </c>
      <c r="J29" s="7" t="s">
        <v>5</v>
      </c>
      <c r="K29" s="1" t="s">
        <v>5</v>
      </c>
    </row>
    <row r="30" spans="1:11">
      <c r="A30" s="45" t="s">
        <v>43</v>
      </c>
      <c r="B30" s="6"/>
      <c r="C30" s="30">
        <f>SUM(C31:C33)</f>
        <v>92143</v>
      </c>
      <c r="D30" s="30">
        <f>SUM(D31:D33)</f>
        <v>107197</v>
      </c>
      <c r="E30" s="30">
        <f>SUM(E31:E33)</f>
        <v>189854</v>
      </c>
      <c r="G30" s="45" t="s">
        <v>44</v>
      </c>
      <c r="J30" s="1">
        <v>2022</v>
      </c>
      <c r="K30" s="1">
        <v>2023</v>
      </c>
    </row>
    <row r="31" spans="1:11">
      <c r="A31" s="2" t="s">
        <v>45</v>
      </c>
      <c r="B31" s="6"/>
      <c r="C31" s="9">
        <v>70034</v>
      </c>
      <c r="D31" s="9">
        <v>72771</v>
      </c>
      <c r="E31" s="9">
        <v>77137</v>
      </c>
      <c r="G31" s="2" t="s">
        <v>46</v>
      </c>
      <c r="J31" s="31">
        <f>$D$33-$C$33</f>
        <v>11982</v>
      </c>
      <c r="K31" s="31">
        <f>$E$33-$D$33</f>
        <v>77935</v>
      </c>
    </row>
    <row r="32" spans="1:11">
      <c r="A32" s="2" t="s">
        <v>47</v>
      </c>
      <c r="B32" s="6"/>
      <c r="C32" s="17">
        <v>5589</v>
      </c>
      <c r="D32" s="17">
        <v>5924</v>
      </c>
      <c r="E32" s="17">
        <v>6280</v>
      </c>
      <c r="G32" s="2" t="s">
        <v>48</v>
      </c>
      <c r="J32" s="14">
        <f>$D$18*-1</f>
        <v>4040</v>
      </c>
      <c r="K32" s="14">
        <f>$E$18*-1</f>
        <v>4040</v>
      </c>
    </row>
    <row r="33" spans="1:11">
      <c r="A33" s="2" t="s">
        <v>49</v>
      </c>
      <c r="B33" s="6"/>
      <c r="C33" s="12">
        <v>16520</v>
      </c>
      <c r="D33" s="12">
        <f>D47-D32-D31-D27</f>
        <v>28502</v>
      </c>
      <c r="E33" s="12">
        <f>J22</f>
        <v>106437</v>
      </c>
      <c r="G33" s="2" t="s">
        <v>50</v>
      </c>
      <c r="J33" s="14">
        <f>$I$16*-1</f>
        <v>16000</v>
      </c>
      <c r="K33" s="14">
        <f>$J$16*-1</f>
        <v>4890</v>
      </c>
    </row>
    <row r="34" spans="1:11">
      <c r="A34" s="45" t="s">
        <v>51</v>
      </c>
      <c r="B34" s="6"/>
      <c r="C34" s="32">
        <f>C30+C27</f>
        <v>198166</v>
      </c>
      <c r="D34" s="32">
        <f>D30+D27</f>
        <v>219822</v>
      </c>
      <c r="E34" s="32">
        <f>E30+E27</f>
        <v>311310</v>
      </c>
      <c r="G34" s="2" t="s">
        <v>52</v>
      </c>
      <c r="J34" s="14">
        <f>$J$62</f>
        <v>-1929.2000000000003</v>
      </c>
      <c r="K34" s="14">
        <f>$K$62</f>
        <v>-1436.4</v>
      </c>
    </row>
    <row r="35" spans="1:11">
      <c r="A35" s="2"/>
      <c r="B35" s="6"/>
      <c r="C35" s="2"/>
      <c r="E35" s="33"/>
      <c r="G35" s="2" t="s">
        <v>20</v>
      </c>
      <c r="J35" s="14">
        <f>$I$8*-1</f>
        <v>6890</v>
      </c>
      <c r="K35" s="14">
        <f>$J$8*-1</f>
        <v>5130</v>
      </c>
    </row>
    <row r="36" spans="1:11">
      <c r="A36" s="45" t="s">
        <v>53</v>
      </c>
      <c r="B36" s="6"/>
      <c r="C36" s="2"/>
      <c r="E36" s="33"/>
      <c r="G36" s="2" t="s">
        <v>54</v>
      </c>
      <c r="J36" s="14">
        <f>($J$57*-1*1.06)</f>
        <v>-14360.880000000001</v>
      </c>
      <c r="K36" s="14">
        <f>($K$57*-1*1.06*1.06)</f>
        <v>-15222.532800000003</v>
      </c>
    </row>
    <row r="37" spans="1:11">
      <c r="A37" s="45" t="s">
        <v>55</v>
      </c>
      <c r="B37" s="6"/>
      <c r="C37" s="87">
        <f>SUM(C38:C39)</f>
        <v>25780</v>
      </c>
      <c r="D37" s="87">
        <f t="shared" ref="D37:E37" si="0">SUM(D38:D39)</f>
        <v>59244</v>
      </c>
      <c r="E37" s="87">
        <f t="shared" si="0"/>
        <v>150324</v>
      </c>
      <c r="G37" s="2"/>
      <c r="J37" s="14"/>
      <c r="K37" s="14"/>
    </row>
    <row r="38" spans="1:11" ht="15" thickBot="1">
      <c r="A38" s="2" t="s">
        <v>56</v>
      </c>
      <c r="B38" s="6"/>
      <c r="C38" s="8">
        <v>12000</v>
      </c>
      <c r="D38" s="34">
        <v>12000</v>
      </c>
      <c r="E38" s="35">
        <v>12000</v>
      </c>
      <c r="G38" s="2" t="s">
        <v>57</v>
      </c>
      <c r="J38" s="20">
        <f>SUM(J31:J36)</f>
        <v>22621.920000000002</v>
      </c>
      <c r="K38" s="20">
        <f>SUM(K31:K36)</f>
        <v>75336.067200000005</v>
      </c>
    </row>
    <row r="39" spans="1:11" ht="15" thickTop="1">
      <c r="A39" s="2" t="s">
        <v>58</v>
      </c>
      <c r="B39" s="6"/>
      <c r="C39" s="11">
        <f>C19</f>
        <v>13780</v>
      </c>
      <c r="D39" s="36">
        <f>D19</f>
        <v>47244</v>
      </c>
      <c r="E39" s="37">
        <f>E19</f>
        <v>138324</v>
      </c>
      <c r="G39" s="2" t="s">
        <v>59</v>
      </c>
      <c r="K39" s="33">
        <f>(K38*1.1)/((16-10)/100)</f>
        <v>1381161.2320000003</v>
      </c>
    </row>
    <row r="40" spans="1:11" ht="15" thickBot="1">
      <c r="A40" s="45" t="s">
        <v>60</v>
      </c>
      <c r="B40" s="6"/>
      <c r="C40" s="38">
        <f>SUM(C41:C42)</f>
        <v>59040</v>
      </c>
      <c r="D40" s="39">
        <f>SUM(D41:D42)</f>
        <v>39320</v>
      </c>
      <c r="E40" s="40">
        <f>SUM(E41:E42)</f>
        <v>34590</v>
      </c>
      <c r="G40" s="2" t="s">
        <v>61</v>
      </c>
      <c r="J40" s="41">
        <f>J38+J39</f>
        <v>22621.920000000002</v>
      </c>
      <c r="K40" s="57">
        <f>SUM(K38:K39)</f>
        <v>1456497.2992000002</v>
      </c>
    </row>
    <row r="41" spans="1:11" ht="15" thickTop="1">
      <c r="A41" s="2" t="s">
        <v>62</v>
      </c>
      <c r="B41" s="6"/>
      <c r="C41" s="8">
        <v>52500</v>
      </c>
      <c r="D41" s="34">
        <v>35000</v>
      </c>
      <c r="E41" s="35">
        <v>31340</v>
      </c>
      <c r="G41" s="2" t="s">
        <v>63</v>
      </c>
      <c r="I41" s="58">
        <f>NPV(16%,J40,K40)</f>
        <v>1101916.4137931038</v>
      </c>
      <c r="K41" s="54"/>
    </row>
    <row r="42" spans="1:11">
      <c r="A42" s="2" t="s">
        <v>42</v>
      </c>
      <c r="B42" s="6"/>
      <c r="C42" s="11">
        <v>6540</v>
      </c>
      <c r="D42" s="36">
        <v>4320</v>
      </c>
      <c r="E42" s="37">
        <v>3250</v>
      </c>
      <c r="G42" s="2" t="s">
        <v>64</v>
      </c>
      <c r="I42" s="15">
        <f>($C$44+$C$41)*-1</f>
        <v>-62670</v>
      </c>
      <c r="K42" s="54"/>
    </row>
    <row r="43" spans="1:11" ht="15" thickBot="1">
      <c r="A43" s="45" t="s">
        <v>65</v>
      </c>
      <c r="B43" s="6"/>
      <c r="C43" s="38">
        <f>SUM(C44:C46)</f>
        <v>113346</v>
      </c>
      <c r="D43" s="39">
        <f>SUM(D44:D46)</f>
        <v>121258</v>
      </c>
      <c r="E43" s="40">
        <f>SUM(E44:E46)</f>
        <v>126396</v>
      </c>
      <c r="G43" s="2" t="s">
        <v>66</v>
      </c>
      <c r="I43" s="49">
        <f>SUM(I41:I42)</f>
        <v>1039246.4137931038</v>
      </c>
      <c r="K43" s="54"/>
    </row>
    <row r="44" spans="1:11" ht="15" thickTop="1">
      <c r="A44" s="2" t="s">
        <v>67</v>
      </c>
      <c r="B44" s="6"/>
      <c r="C44" s="8">
        <v>10170</v>
      </c>
      <c r="D44" s="34">
        <v>11670</v>
      </c>
      <c r="E44" s="35">
        <v>10440</v>
      </c>
      <c r="G44" s="27"/>
      <c r="H44" s="28"/>
      <c r="I44" s="28"/>
      <c r="J44" s="28"/>
      <c r="K44" s="29"/>
    </row>
    <row r="45" spans="1:11">
      <c r="A45" s="2" t="s">
        <v>68</v>
      </c>
      <c r="B45" s="6"/>
      <c r="C45" s="16">
        <v>98546</v>
      </c>
      <c r="D45" s="5">
        <v>104458</v>
      </c>
      <c r="E45" s="33">
        <v>110726</v>
      </c>
      <c r="G45" s="45" t="s">
        <v>69</v>
      </c>
      <c r="K45" s="54"/>
    </row>
    <row r="46" spans="1:11">
      <c r="A46" s="2" t="s">
        <v>70</v>
      </c>
      <c r="B46" s="6"/>
      <c r="C46" s="11">
        <v>4630</v>
      </c>
      <c r="D46" s="36">
        <v>5130</v>
      </c>
      <c r="E46" s="37">
        <v>5230</v>
      </c>
      <c r="G46" s="2" t="s">
        <v>71</v>
      </c>
      <c r="K46" s="54"/>
    </row>
    <row r="47" spans="1:11">
      <c r="A47" s="45" t="s">
        <v>72</v>
      </c>
      <c r="B47" s="26"/>
      <c r="C47" s="42">
        <f>C43+C40+C39+C38</f>
        <v>198166</v>
      </c>
      <c r="D47" s="43">
        <f>D43+D40+D39+D38</f>
        <v>219822</v>
      </c>
      <c r="E47" s="44">
        <f>E43+E40+E39+E38</f>
        <v>311310</v>
      </c>
      <c r="G47" s="2" t="s">
        <v>73</v>
      </c>
      <c r="K47" s="54"/>
    </row>
    <row r="48" spans="1:11">
      <c r="A48" s="27"/>
      <c r="B48" s="28"/>
      <c r="C48" s="28"/>
      <c r="D48" s="46"/>
      <c r="E48" s="47"/>
      <c r="G48" s="2" t="s">
        <v>74</v>
      </c>
      <c r="K48" s="54"/>
    </row>
    <row r="49" spans="1:12">
      <c r="G49" s="2" t="s">
        <v>75</v>
      </c>
      <c r="K49" s="54"/>
    </row>
    <row r="50" spans="1:12">
      <c r="G50" s="2" t="s">
        <v>76</v>
      </c>
      <c r="K50" s="54"/>
    </row>
    <row r="51" spans="1:12">
      <c r="A51" s="10"/>
      <c r="B51" s="50"/>
      <c r="C51" s="50"/>
      <c r="D51" s="50"/>
      <c r="E51" s="51"/>
      <c r="G51" s="2" t="s">
        <v>77</v>
      </c>
      <c r="K51" s="54"/>
    </row>
    <row r="52" spans="1:12">
      <c r="A52" s="45" t="s">
        <v>78</v>
      </c>
      <c r="D52" s="1">
        <v>2022</v>
      </c>
      <c r="E52" s="1">
        <v>2023</v>
      </c>
      <c r="G52" s="27" t="s">
        <v>79</v>
      </c>
      <c r="H52" s="28"/>
      <c r="I52" s="28"/>
      <c r="J52" s="28"/>
      <c r="K52" s="29"/>
    </row>
    <row r="53" spans="1:12">
      <c r="A53" s="2"/>
      <c r="D53" s="7" t="s">
        <v>5</v>
      </c>
      <c r="E53" s="1" t="s">
        <v>5</v>
      </c>
      <c r="L53" s="4"/>
    </row>
    <row r="54" spans="1:12">
      <c r="A54" s="2" t="s">
        <v>80</v>
      </c>
      <c r="D54" s="52">
        <f>(D6-C6)/C6</f>
        <v>0.20680187838951339</v>
      </c>
      <c r="E54" s="53">
        <f>(E6-D6)/D6</f>
        <v>0.21815722402313192</v>
      </c>
      <c r="G54" s="59" t="s">
        <v>57</v>
      </c>
      <c r="H54" s="50"/>
      <c r="I54" s="50"/>
      <c r="J54" s="50"/>
      <c r="K54" s="51"/>
      <c r="L54" s="4"/>
    </row>
    <row r="55" spans="1:12">
      <c r="A55" s="2" t="s">
        <v>81</v>
      </c>
      <c r="D55" s="52">
        <f>(D7-C7)/C7</f>
        <v>0.20620638264333721</v>
      </c>
      <c r="E55" s="53">
        <f>(E7-D7)/D7</f>
        <v>0.17972335448429241</v>
      </c>
      <c r="G55" s="45" t="s">
        <v>82</v>
      </c>
      <c r="J55" s="1">
        <v>2022</v>
      </c>
      <c r="K55" s="1">
        <v>2023</v>
      </c>
    </row>
    <row r="56" spans="1:12">
      <c r="A56" s="2" t="s">
        <v>83</v>
      </c>
      <c r="D56" s="52">
        <f t="shared" ref="D56:E59" si="1">(D9-C9)/C9</f>
        <v>5.9995598729919206E-2</v>
      </c>
      <c r="E56" s="53">
        <f t="shared" si="1"/>
        <v>5.9998695035797543E-2</v>
      </c>
      <c r="G56" s="2" t="s">
        <v>16</v>
      </c>
      <c r="J56" s="31">
        <f>$D$11</f>
        <v>61392</v>
      </c>
      <c r="K56" s="31">
        <f>$E$11</f>
        <v>136755</v>
      </c>
    </row>
    <row r="57" spans="1:12">
      <c r="A57" s="2" t="s">
        <v>84</v>
      </c>
      <c r="D57" s="52">
        <f t="shared" si="1"/>
        <v>0</v>
      </c>
      <c r="E57" s="53">
        <f t="shared" si="1"/>
        <v>0</v>
      </c>
      <c r="G57" s="2" t="s">
        <v>14</v>
      </c>
      <c r="J57" s="14">
        <f>$D$10*-1</f>
        <v>13548</v>
      </c>
      <c r="K57" s="14">
        <f>$E$10*-1</f>
        <v>13548</v>
      </c>
    </row>
    <row r="58" spans="1:12">
      <c r="A58" s="2" t="s">
        <v>85</v>
      </c>
      <c r="D58" s="52">
        <f t="shared" si="1"/>
        <v>1.127382354979555</v>
      </c>
      <c r="E58" s="53">
        <f t="shared" si="1"/>
        <v>1.2275703674745895</v>
      </c>
      <c r="G58" s="2" t="s">
        <v>86</v>
      </c>
      <c r="J58" s="14">
        <f>$J$36</f>
        <v>-14360.880000000001</v>
      </c>
      <c r="K58" s="14">
        <f>$K$36</f>
        <v>-15222.532800000003</v>
      </c>
    </row>
    <row r="59" spans="1:12">
      <c r="A59" s="2" t="s">
        <v>87</v>
      </c>
      <c r="D59" s="52">
        <f t="shared" si="1"/>
        <v>-6.4516129032258063E-2</v>
      </c>
      <c r="E59" s="53">
        <f t="shared" si="1"/>
        <v>-0.29310344827586204</v>
      </c>
      <c r="G59" s="2" t="s">
        <v>88</v>
      </c>
      <c r="J59" s="14">
        <f>$D$46-$C$46</f>
        <v>500</v>
      </c>
      <c r="K59" s="14">
        <f>$E$46-$D$46</f>
        <v>100</v>
      </c>
    </row>
    <row r="60" spans="1:12">
      <c r="A60" s="2" t="s">
        <v>89</v>
      </c>
      <c r="D60" s="52">
        <f>(D13/(D41+D44))*-1</f>
        <v>0.14763231197771587</v>
      </c>
      <c r="E60" s="53">
        <f>(E13/(E41+E44))*-1</f>
        <v>0.12278602202010531</v>
      </c>
      <c r="G60" s="2" t="s">
        <v>18</v>
      </c>
      <c r="J60" s="14">
        <f>$D$12</f>
        <v>580</v>
      </c>
      <c r="K60" s="14">
        <f>$E$12</f>
        <v>410</v>
      </c>
    </row>
    <row r="61" spans="1:12">
      <c r="A61" s="2" t="s">
        <v>90</v>
      </c>
      <c r="D61" s="52">
        <f>(D15/D14)*-1</f>
        <v>0.31912421480701497</v>
      </c>
      <c r="E61" s="53">
        <f>(E15/E14)*-1</f>
        <v>0.27958495853372212</v>
      </c>
      <c r="G61" s="2" t="s">
        <v>91</v>
      </c>
      <c r="J61" s="14">
        <f>$I$9</f>
        <v>-19798</v>
      </c>
      <c r="K61" s="14">
        <f>$J$9</f>
        <v>-37985</v>
      </c>
    </row>
    <row r="62" spans="1:12">
      <c r="A62" s="2"/>
      <c r="D62" s="52"/>
      <c r="E62" s="53"/>
      <c r="G62" s="2" t="s">
        <v>52</v>
      </c>
      <c r="J62" s="14">
        <f>$D$13*0.28</f>
        <v>-1929.2000000000003</v>
      </c>
      <c r="K62" s="14">
        <f>$E$13*0.28</f>
        <v>-1436.4</v>
      </c>
    </row>
    <row r="63" spans="1:12">
      <c r="A63" s="2" t="s">
        <v>92</v>
      </c>
      <c r="D63" s="52">
        <f>(D28-C28)/C28</f>
        <v>6.226950755968045E-2</v>
      </c>
      <c r="E63" s="53">
        <f>(E28-D28)/D28</f>
        <v>7.8410654827968926E-2</v>
      </c>
      <c r="G63" s="2" t="s">
        <v>45</v>
      </c>
      <c r="J63" s="14">
        <f>$C$31-$D$31</f>
        <v>-2737</v>
      </c>
      <c r="K63" s="14">
        <f>$D$31-$E$31</f>
        <v>-4366</v>
      </c>
    </row>
    <row r="64" spans="1:12">
      <c r="A64" s="2" t="s">
        <v>93</v>
      </c>
      <c r="D64" s="52">
        <f>(D31-C31)/C31</f>
        <v>3.9081017791358481E-2</v>
      </c>
      <c r="E64" s="53">
        <f>(E31-D31)/D31</f>
        <v>5.9996427148177156E-2</v>
      </c>
      <c r="G64" s="2" t="s">
        <v>94</v>
      </c>
      <c r="J64" s="14">
        <f>$C$32-$D$32</f>
        <v>-335</v>
      </c>
      <c r="K64" s="14">
        <f>$D$32-$E$32</f>
        <v>-356</v>
      </c>
    </row>
    <row r="65" spans="1:11">
      <c r="A65" s="2" t="s">
        <v>95</v>
      </c>
      <c r="D65" s="52">
        <f>(D32-C32)/C32</f>
        <v>5.9939166219359456E-2</v>
      </c>
      <c r="E65" s="53">
        <f>(E32-D32)/D32</f>
        <v>6.0094530722484808E-2</v>
      </c>
      <c r="G65" s="2" t="s">
        <v>96</v>
      </c>
      <c r="H65" s="64"/>
      <c r="I65" s="65"/>
      <c r="J65" s="70">
        <f>$D$45-$C$45</f>
        <v>5912</v>
      </c>
      <c r="K65" s="70">
        <f>$E$45-$D$45</f>
        <v>6268</v>
      </c>
    </row>
    <row r="66" spans="1:11">
      <c r="A66" s="2" t="s">
        <v>97</v>
      </c>
      <c r="D66" s="52">
        <f>((D41+D44)-(C41+C44))/(C41+C44)</f>
        <v>-0.2553055688527206</v>
      </c>
      <c r="E66" s="53">
        <f>((E41+E44)-(D41+D44))/(D41+D44)</f>
        <v>-0.10477823012641954</v>
      </c>
      <c r="G66" s="2" t="s">
        <v>98</v>
      </c>
      <c r="J66" s="14">
        <f>$C$28-$D$28+$D$10</f>
        <v>-20150</v>
      </c>
      <c r="K66" s="14">
        <f>$D$28-$E$28+$E$10</f>
        <v>-22379</v>
      </c>
    </row>
    <row r="67" spans="1:11" ht="15" thickBot="1">
      <c r="A67" s="2" t="s">
        <v>99</v>
      </c>
      <c r="D67" s="52">
        <f>(D45-C45)/C45</f>
        <v>5.9992287865565319E-2</v>
      </c>
      <c r="E67" s="53">
        <f>(E45-D45)/D45</f>
        <v>6.0004978077313371E-2</v>
      </c>
      <c r="G67" s="2" t="s">
        <v>57</v>
      </c>
      <c r="J67" s="41">
        <f>SUM(J56:J66)</f>
        <v>22621.919999999998</v>
      </c>
      <c r="K67" s="57">
        <f>SUM(K56:K66)</f>
        <v>75336.06719999999</v>
      </c>
    </row>
    <row r="68" spans="1:11" ht="15" thickTop="1">
      <c r="A68" s="2" t="s">
        <v>100</v>
      </c>
      <c r="D68" s="52">
        <f>(D46-C46)/C46</f>
        <v>0.10799136069114471</v>
      </c>
      <c r="E68" s="53">
        <f>(E46-D46)/D46</f>
        <v>1.9493177387914229E-2</v>
      </c>
      <c r="G68" s="2" t="s">
        <v>101</v>
      </c>
      <c r="K68" s="33">
        <f>(K67*1.1)/((16-10)/100)</f>
        <v>1381161.2320000001</v>
      </c>
    </row>
    <row r="69" spans="1:11" s="63" customFormat="1" ht="15" thickBot="1">
      <c r="A69" s="2" t="s">
        <v>102</v>
      </c>
      <c r="B69" s="65"/>
      <c r="C69" s="65"/>
      <c r="D69" s="68">
        <v>0.06</v>
      </c>
      <c r="E69" s="69">
        <v>0.06</v>
      </c>
      <c r="G69" s="2" t="s">
        <v>61</v>
      </c>
      <c r="H69"/>
      <c r="I69"/>
      <c r="J69" s="60">
        <f>J68+J67</f>
        <v>22621.919999999998</v>
      </c>
      <c r="K69" s="61">
        <f>K68+K67</f>
        <v>1456497.2992</v>
      </c>
    </row>
    <row r="70" spans="1:11" ht="15" thickTop="1">
      <c r="A70" s="27" t="s">
        <v>103</v>
      </c>
      <c r="B70" s="28"/>
      <c r="C70" s="28"/>
      <c r="D70" s="66">
        <v>0.16</v>
      </c>
      <c r="E70" s="67">
        <v>0.16</v>
      </c>
      <c r="G70" s="2" t="s">
        <v>104</v>
      </c>
      <c r="I70" s="58">
        <f>NPV(16%,J69,K69)</f>
        <v>1101916.4137931035</v>
      </c>
      <c r="J70" s="15"/>
      <c r="K70" s="54"/>
    </row>
    <row r="71" spans="1:11">
      <c r="G71" s="2" t="s">
        <v>64</v>
      </c>
      <c r="H71" s="58"/>
      <c r="I71" s="15">
        <f>$I$42</f>
        <v>-62670</v>
      </c>
      <c r="K71" s="54"/>
    </row>
    <row r="72" spans="1:11" ht="15" thickBot="1">
      <c r="G72" s="2" t="s">
        <v>66</v>
      </c>
      <c r="H72" s="15"/>
      <c r="I72" s="41">
        <f>I70+I71</f>
        <v>1039246.4137931035</v>
      </c>
      <c r="K72" s="54"/>
    </row>
    <row r="73" spans="1:11" ht="15" thickTop="1">
      <c r="G73" s="27"/>
      <c r="H73" s="62"/>
      <c r="I73" s="46"/>
      <c r="J73" s="28"/>
      <c r="K73" s="29"/>
    </row>
    <row r="75" spans="1:11">
      <c r="G75" s="59" t="s">
        <v>105</v>
      </c>
      <c r="H75" s="50"/>
      <c r="I75" s="50"/>
      <c r="J75" s="50"/>
      <c r="K75" s="51"/>
    </row>
    <row r="76" spans="1:11">
      <c r="G76" s="45" t="s">
        <v>106</v>
      </c>
      <c r="I76" s="1">
        <v>2022</v>
      </c>
      <c r="J76" s="1">
        <v>2023</v>
      </c>
      <c r="K76" s="54"/>
    </row>
    <row r="77" spans="1:11">
      <c r="G77" s="2" t="s">
        <v>16</v>
      </c>
      <c r="I77" s="31">
        <f>$D$11</f>
        <v>61392</v>
      </c>
      <c r="J77" s="31">
        <f>$E$11</f>
        <v>136755</v>
      </c>
      <c r="K77" s="54"/>
    </row>
    <row r="78" spans="1:11">
      <c r="G78" s="2" t="s">
        <v>86</v>
      </c>
      <c r="I78" s="14">
        <f>$J$36</f>
        <v>-14360.880000000001</v>
      </c>
      <c r="J78" s="14">
        <f>$K$36</f>
        <v>-15222.532800000003</v>
      </c>
      <c r="K78" s="54"/>
    </row>
    <row r="79" spans="1:11">
      <c r="G79" s="2" t="s">
        <v>88</v>
      </c>
      <c r="I79" s="14">
        <f>($D$46-$C$46)*-1</f>
        <v>-500</v>
      </c>
      <c r="J79" s="14">
        <f>($E$46-$D$46)*-1</f>
        <v>-100</v>
      </c>
      <c r="K79" s="54"/>
    </row>
    <row r="80" spans="1:11">
      <c r="G80" s="2" t="s">
        <v>91</v>
      </c>
      <c r="I80" s="14">
        <f>$I$9</f>
        <v>-19798</v>
      </c>
      <c r="J80" s="14">
        <f>$J$9</f>
        <v>-37985</v>
      </c>
      <c r="K80" s="54"/>
    </row>
    <row r="81" spans="7:11">
      <c r="G81" s="2" t="s">
        <v>45</v>
      </c>
      <c r="I81" s="14">
        <f>($C$31-$D$31)*-1</f>
        <v>2737</v>
      </c>
      <c r="J81" s="14">
        <f>($D$31-$E$31)*-1</f>
        <v>4366</v>
      </c>
      <c r="K81" s="54"/>
    </row>
    <row r="82" spans="7:11">
      <c r="G82" s="2" t="s">
        <v>94</v>
      </c>
      <c r="I82" s="14">
        <f>($C$32-$D$32)*-1</f>
        <v>335</v>
      </c>
      <c r="J82" s="14">
        <f>($D$32-$E$32)*-1</f>
        <v>356</v>
      </c>
      <c r="K82" s="54"/>
    </row>
    <row r="83" spans="7:11">
      <c r="G83" s="2" t="s">
        <v>96</v>
      </c>
      <c r="H83" s="65"/>
      <c r="I83" s="70">
        <f>($D$45-$C$45)</f>
        <v>5912</v>
      </c>
      <c r="J83" s="70">
        <f>($E$45-$D$45)</f>
        <v>6268</v>
      </c>
      <c r="K83" s="54"/>
    </row>
    <row r="84" spans="7:11">
      <c r="G84" s="2" t="s">
        <v>98</v>
      </c>
      <c r="I84" s="14">
        <f>$C$28-$D$28+$D$10</f>
        <v>-20150</v>
      </c>
      <c r="J84" s="14">
        <f>$D$28-$E$28+$E$10</f>
        <v>-22379</v>
      </c>
      <c r="K84" s="54"/>
    </row>
    <row r="85" spans="7:11" ht="15" thickBot="1">
      <c r="G85" s="2" t="s">
        <v>57</v>
      </c>
      <c r="I85" s="41">
        <f>SUM(I77:I84)</f>
        <v>15567.119999999995</v>
      </c>
      <c r="J85" s="57">
        <f>SUM(J77:J84)</f>
        <v>72058.467199999999</v>
      </c>
      <c r="K85" s="54"/>
    </row>
    <row r="86" spans="7:11" ht="15" thickTop="1">
      <c r="G86" s="2" t="s">
        <v>59</v>
      </c>
      <c r="J86" s="33">
        <f>(J85*1.1)/((16-10)/100)</f>
        <v>1321071.8986666668</v>
      </c>
      <c r="K86" s="54"/>
    </row>
    <row r="87" spans="7:11" ht="15" thickBot="1">
      <c r="G87" s="2" t="s">
        <v>61</v>
      </c>
      <c r="I87" s="60">
        <f>I86+I85</f>
        <v>15567.119999999995</v>
      </c>
      <c r="J87" s="61">
        <f>J86+J85</f>
        <v>1393130.3658666669</v>
      </c>
      <c r="K87" s="54"/>
    </row>
    <row r="88" spans="7:11" ht="15" thickTop="1">
      <c r="G88" s="2" t="s">
        <v>107</v>
      </c>
      <c r="H88" s="58">
        <f>NPV(16%,I87,J87)</f>
        <v>1048742.7356321842</v>
      </c>
      <c r="I88" s="15"/>
      <c r="K88" s="54"/>
    </row>
    <row r="89" spans="7:11">
      <c r="G89" s="27"/>
      <c r="H89" s="62"/>
      <c r="I89" s="46"/>
      <c r="J89" s="28"/>
      <c r="K89" s="29"/>
    </row>
  </sheetData>
  <mergeCells count="6">
    <mergeCell ref="A2:E2"/>
    <mergeCell ref="A1:E1"/>
    <mergeCell ref="A21:E21"/>
    <mergeCell ref="A22:E22"/>
    <mergeCell ref="G1:J1"/>
    <mergeCell ref="G2:J2"/>
  </mergeCells>
  <pageMargins left="0.7" right="0.7" top="0.75" bottom="0.75" header="0.3" footer="0.3"/>
  <pageSetup orientation="portrait" horizontalDpi="0" verticalDpi="0" r:id="rId1"/>
  <ignoredErrors>
    <ignoredError sqref="D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3FE4-7CED-494B-93A1-669A5499E4F2}">
  <dimension ref="A1:S76"/>
  <sheetViews>
    <sheetView tabSelected="1" zoomScale="90" zoomScaleNormal="90" workbookViewId="0">
      <selection activeCell="A52" sqref="A52:F52"/>
    </sheetView>
  </sheetViews>
  <sheetFormatPr defaultColWidth="8.85546875" defaultRowHeight="14.45"/>
  <cols>
    <col min="3" max="3" width="12.42578125" customWidth="1"/>
    <col min="4" max="4" width="11.140625" customWidth="1"/>
    <col min="5" max="5" width="11.140625" bestFit="1" customWidth="1"/>
    <col min="6" max="6" width="29.140625" customWidth="1"/>
  </cols>
  <sheetData>
    <row r="1" spans="1:11">
      <c r="A1" s="4" t="s">
        <v>108</v>
      </c>
    </row>
    <row r="2" spans="1:11">
      <c r="A2" s="2"/>
    </row>
    <row r="3" spans="1:11">
      <c r="A3" s="45" t="s">
        <v>109</v>
      </c>
    </row>
    <row r="4" spans="1:11">
      <c r="A4" s="45"/>
      <c r="I4" s="82"/>
    </row>
    <row r="5" spans="1:11">
      <c r="A5" s="96" t="s">
        <v>110</v>
      </c>
      <c r="B5" s="97"/>
      <c r="C5" s="97"/>
      <c r="D5" s="97"/>
      <c r="E5" s="97"/>
      <c r="F5" s="97"/>
    </row>
    <row r="6" spans="1:11" ht="15" thickBot="1">
      <c r="A6" s="2"/>
      <c r="D6" s="4" t="s">
        <v>111</v>
      </c>
      <c r="E6" s="76" t="s">
        <v>112</v>
      </c>
      <c r="I6" s="82"/>
    </row>
    <row r="7" spans="1:11" ht="15" thickBot="1">
      <c r="A7" s="2" t="s">
        <v>113</v>
      </c>
      <c r="D7" s="77">
        <v>20000</v>
      </c>
      <c r="E7" s="77">
        <f>20000*12</f>
        <v>240000</v>
      </c>
      <c r="G7" s="73">
        <v>1</v>
      </c>
      <c r="I7" s="82"/>
    </row>
    <row r="8" spans="1:11" ht="15" thickBot="1">
      <c r="A8" s="2" t="s">
        <v>114</v>
      </c>
      <c r="D8" s="77">
        <f>((34500*100/115)-(16000*100/115))/12</f>
        <v>1340.5797101449275</v>
      </c>
      <c r="E8" s="77">
        <f>((34500*100/115)-(16000*100/115))</f>
        <v>16086.95652173913</v>
      </c>
      <c r="F8" s="75" t="s">
        <v>115</v>
      </c>
      <c r="G8" s="73">
        <v>2</v>
      </c>
      <c r="I8" s="83"/>
      <c r="K8" s="85"/>
    </row>
    <row r="9" spans="1:11" ht="15" thickBot="1">
      <c r="A9" s="2" t="s">
        <v>116</v>
      </c>
      <c r="D9" s="77">
        <f>460*100/115</f>
        <v>400</v>
      </c>
      <c r="E9" s="77">
        <f>(460*100/115)*12</f>
        <v>4800</v>
      </c>
      <c r="F9" s="75" t="s">
        <v>117</v>
      </c>
      <c r="G9" s="73">
        <v>1</v>
      </c>
      <c r="I9" s="83"/>
    </row>
    <row r="10" spans="1:11" ht="15" thickBot="1">
      <c r="A10" s="2" t="s">
        <v>118</v>
      </c>
      <c r="D10" s="77">
        <f>1725*100/115/12</f>
        <v>125</v>
      </c>
      <c r="E10" s="77">
        <f>1725*100/115</f>
        <v>1500</v>
      </c>
      <c r="F10" s="75" t="s">
        <v>119</v>
      </c>
      <c r="G10" s="73">
        <v>1</v>
      </c>
      <c r="I10" s="83"/>
    </row>
    <row r="11" spans="1:11" ht="15" thickBot="1">
      <c r="A11" s="2" t="s">
        <v>120</v>
      </c>
      <c r="C11" s="4" t="s">
        <v>121</v>
      </c>
      <c r="D11" s="77">
        <f>D16/100*4*15</f>
        <v>1227.6000000000001</v>
      </c>
      <c r="E11" s="77">
        <f>E16/100*4*15</f>
        <v>14731.2</v>
      </c>
      <c r="F11" s="75" t="s">
        <v>122</v>
      </c>
      <c r="G11" s="73">
        <v>1.5</v>
      </c>
      <c r="I11" s="83"/>
    </row>
    <row r="12" spans="1:11" ht="15" thickBot="1">
      <c r="A12" s="2" t="s">
        <v>123</v>
      </c>
      <c r="D12" s="71">
        <f>SUM(D7:D11)</f>
        <v>23093.179710144927</v>
      </c>
      <c r="E12" s="71">
        <f>SUM(E7:E11)</f>
        <v>277118.15652173915</v>
      </c>
      <c r="G12" s="73">
        <v>1</v>
      </c>
      <c r="H12" s="4" t="s">
        <v>124</v>
      </c>
      <c r="I12" s="83"/>
    </row>
    <row r="13" spans="1:11" ht="15.6" thickTop="1" thickBot="1">
      <c r="A13" s="2" t="s">
        <v>125</v>
      </c>
      <c r="D13" s="78">
        <f>D12/D16</f>
        <v>11.286989105642682</v>
      </c>
      <c r="E13" s="78">
        <f>E12/E16</f>
        <v>11.286989105642682</v>
      </c>
      <c r="G13" s="73">
        <v>1</v>
      </c>
      <c r="H13" s="4" t="s">
        <v>124</v>
      </c>
      <c r="I13" s="83"/>
    </row>
    <row r="14" spans="1:11">
      <c r="A14" s="2"/>
      <c r="D14" s="77"/>
      <c r="E14" s="77"/>
      <c r="I14" s="83"/>
    </row>
    <row r="15" spans="1:11" ht="15" thickBot="1">
      <c r="A15" s="45" t="s">
        <v>121</v>
      </c>
      <c r="I15" s="83"/>
    </row>
    <row r="16" spans="1:11" ht="15" thickBot="1">
      <c r="A16" s="2" t="s">
        <v>126</v>
      </c>
      <c r="D16" s="84">
        <f>22*6.2*15</f>
        <v>2046</v>
      </c>
      <c r="E16" s="84">
        <f>22*15*6.2*12</f>
        <v>24552</v>
      </c>
      <c r="F16" s="75" t="s">
        <v>127</v>
      </c>
      <c r="G16" s="73">
        <v>1.5</v>
      </c>
      <c r="I16" s="83"/>
    </row>
    <row r="17" spans="1:18" ht="15" thickBot="1">
      <c r="A17" s="2"/>
      <c r="D17" s="84"/>
      <c r="E17" s="84"/>
      <c r="F17" s="75"/>
      <c r="G17" s="55"/>
      <c r="I17" s="83"/>
    </row>
    <row r="18" spans="1:18" ht="15" thickBot="1">
      <c r="A18" s="2"/>
      <c r="F18" s="4" t="s">
        <v>128</v>
      </c>
      <c r="G18" s="73">
        <v>10</v>
      </c>
      <c r="I18" s="83"/>
    </row>
    <row r="19" spans="1:18" ht="15" thickBot="1">
      <c r="A19" s="2"/>
      <c r="F19" s="4" t="s">
        <v>129</v>
      </c>
      <c r="G19" s="73">
        <v>10</v>
      </c>
      <c r="I19" s="83"/>
      <c r="J19" s="82"/>
    </row>
    <row r="20" spans="1:18" ht="15" thickBot="1">
      <c r="A20" s="2"/>
      <c r="F20" s="4" t="s">
        <v>130</v>
      </c>
      <c r="G20" s="73"/>
      <c r="I20" s="82"/>
    </row>
    <row r="21" spans="1:18">
      <c r="A21" s="2"/>
      <c r="F21" s="4"/>
      <c r="G21" s="55"/>
      <c r="I21" s="82"/>
    </row>
    <row r="22" spans="1:18" ht="15" thickBot="1">
      <c r="A22" s="45" t="s">
        <v>131</v>
      </c>
      <c r="D22" s="4" t="s">
        <v>132</v>
      </c>
    </row>
    <row r="23" spans="1:18" ht="15" thickBot="1">
      <c r="A23" s="2" t="s">
        <v>133</v>
      </c>
      <c r="D23" s="78">
        <f>D13*6.2</f>
        <v>69.979332454984629</v>
      </c>
      <c r="E23" s="75" t="s">
        <v>134</v>
      </c>
      <c r="G23" s="73">
        <v>1</v>
      </c>
      <c r="H23" s="4" t="s">
        <v>124</v>
      </c>
    </row>
    <row r="24" spans="1:18" ht="15" thickBot="1">
      <c r="A24" s="2" t="s">
        <v>135</v>
      </c>
      <c r="D24" s="78">
        <v>758</v>
      </c>
      <c r="E24" s="79"/>
      <c r="G24" s="55"/>
      <c r="H24" s="4"/>
      <c r="L24" s="74"/>
    </row>
    <row r="25" spans="1:18" ht="15" thickBot="1">
      <c r="A25" s="2" t="s">
        <v>136</v>
      </c>
      <c r="D25" s="78">
        <f>D24*0.3</f>
        <v>227.4</v>
      </c>
      <c r="E25" s="75" t="s">
        <v>137</v>
      </c>
      <c r="G25" s="73">
        <v>1</v>
      </c>
      <c r="H25" s="4"/>
      <c r="L25" s="74"/>
    </row>
    <row r="26" spans="1:18" ht="15" thickBot="1">
      <c r="A26" s="2" t="s">
        <v>138</v>
      </c>
      <c r="D26" s="78">
        <f>D24*25%</f>
        <v>189.5</v>
      </c>
      <c r="E26" s="75" t="s">
        <v>139</v>
      </c>
      <c r="G26" s="73">
        <v>1</v>
      </c>
      <c r="H26" s="4"/>
    </row>
    <row r="27" spans="1:18" ht="15" thickBot="1">
      <c r="A27" s="2" t="s">
        <v>140</v>
      </c>
      <c r="D27" s="78">
        <f>D25-D23</f>
        <v>157.42066754501536</v>
      </c>
      <c r="E27" s="75" t="s">
        <v>141</v>
      </c>
      <c r="G27" s="73">
        <v>1</v>
      </c>
      <c r="H27" s="4" t="s">
        <v>124</v>
      </c>
      <c r="L27" s="74"/>
    </row>
    <row r="28" spans="1:18" ht="15" thickBot="1">
      <c r="A28" s="2" t="s">
        <v>142</v>
      </c>
      <c r="D28" s="78">
        <f>D26-D27</f>
        <v>32.079332454984637</v>
      </c>
      <c r="E28" s="75" t="s">
        <v>143</v>
      </c>
      <c r="G28" s="73">
        <v>1</v>
      </c>
      <c r="H28" s="4" t="s">
        <v>124</v>
      </c>
    </row>
    <row r="29" spans="1:18" ht="15" thickBot="1">
      <c r="A29" s="2"/>
      <c r="J29" s="82"/>
    </row>
    <row r="30" spans="1:18" ht="15" thickBot="1">
      <c r="A30" s="2"/>
      <c r="D30" s="74"/>
      <c r="F30" s="4" t="s">
        <v>129</v>
      </c>
      <c r="G30" s="73">
        <f>SUM(G23:G28)</f>
        <v>5</v>
      </c>
      <c r="J30" s="82"/>
    </row>
    <row r="31" spans="1:18" ht="15" thickBot="1">
      <c r="A31" s="2"/>
      <c r="D31" s="74"/>
      <c r="F31" s="4" t="s">
        <v>130</v>
      </c>
      <c r="G31" s="72"/>
      <c r="J31" s="82"/>
    </row>
    <row r="32" spans="1:18">
      <c r="A32" s="2"/>
      <c r="D32" s="74"/>
      <c r="I32" s="82"/>
      <c r="J32" s="82"/>
      <c r="K32" s="82"/>
      <c r="L32" s="82"/>
      <c r="M32" s="82"/>
      <c r="N32" s="82"/>
      <c r="O32" s="82"/>
      <c r="P32" s="82"/>
      <c r="Q32" s="82"/>
      <c r="R32" s="82"/>
    </row>
    <row r="33" spans="1:19" ht="15" thickBot="1">
      <c r="A33" s="4" t="s">
        <v>144</v>
      </c>
      <c r="D33" s="74"/>
      <c r="F33" s="74"/>
      <c r="I33" s="82"/>
      <c r="J33" s="82"/>
      <c r="K33" s="82"/>
      <c r="L33" s="82"/>
      <c r="M33" s="82"/>
      <c r="N33" s="82"/>
      <c r="O33" s="82"/>
      <c r="P33" s="82"/>
      <c r="Q33" s="82"/>
      <c r="R33" s="82"/>
    </row>
    <row r="34" spans="1:19" ht="49.5" customHeight="1" thickBot="1">
      <c r="A34" s="94" t="s">
        <v>145</v>
      </c>
      <c r="B34" s="94"/>
      <c r="C34" s="94"/>
      <c r="D34" s="94"/>
      <c r="E34" s="94"/>
      <c r="F34" s="94"/>
      <c r="G34" s="73">
        <v>2</v>
      </c>
      <c r="I34" s="82"/>
      <c r="J34" s="82"/>
      <c r="K34" s="82"/>
      <c r="L34" s="82"/>
      <c r="M34" s="82"/>
      <c r="N34" s="82"/>
      <c r="O34" s="82"/>
      <c r="P34" s="82"/>
      <c r="Q34" s="82"/>
      <c r="R34" s="82"/>
    </row>
    <row r="35" spans="1:19" ht="38.1" customHeight="1" thickBot="1">
      <c r="A35" s="94" t="s">
        <v>146</v>
      </c>
      <c r="B35" s="94"/>
      <c r="C35" s="94"/>
      <c r="D35" s="94"/>
      <c r="E35" s="94"/>
      <c r="F35" s="94"/>
      <c r="G35" s="73">
        <v>1</v>
      </c>
      <c r="I35" s="82"/>
      <c r="J35" s="82"/>
      <c r="K35" s="82"/>
      <c r="L35" s="82"/>
      <c r="M35" s="82"/>
      <c r="N35" s="82"/>
      <c r="O35" s="82"/>
      <c r="P35" s="82"/>
      <c r="Q35" s="82"/>
      <c r="R35" s="82"/>
    </row>
    <row r="36" spans="1:19" ht="43.5" customHeight="1" thickBot="1">
      <c r="A36" s="94" t="s">
        <v>147</v>
      </c>
      <c r="B36" s="94"/>
      <c r="C36" s="94"/>
      <c r="D36" s="94"/>
      <c r="E36" s="94"/>
      <c r="F36" s="94"/>
      <c r="G36" s="73">
        <v>2</v>
      </c>
      <c r="I36" s="82"/>
      <c r="J36" s="82"/>
      <c r="K36" s="82"/>
      <c r="L36" s="82"/>
      <c r="M36" s="82"/>
      <c r="N36" s="82"/>
      <c r="O36" s="82"/>
      <c r="P36" s="82"/>
      <c r="Q36" s="82"/>
      <c r="R36" s="82"/>
    </row>
    <row r="37" spans="1:19" ht="33.6" customHeight="1" thickBot="1">
      <c r="A37" s="94" t="s">
        <v>148</v>
      </c>
      <c r="B37" s="94"/>
      <c r="C37" s="94"/>
      <c r="D37" s="94"/>
      <c r="E37" s="94"/>
      <c r="F37" s="94"/>
      <c r="G37" s="73">
        <v>2</v>
      </c>
    </row>
    <row r="38" spans="1:19" ht="48" customHeight="1" thickBot="1">
      <c r="A38" s="94" t="s">
        <v>149</v>
      </c>
      <c r="B38" s="94"/>
      <c r="C38" s="94"/>
      <c r="D38" s="94"/>
      <c r="E38" s="94"/>
      <c r="F38" s="94"/>
      <c r="G38" s="73">
        <v>2</v>
      </c>
      <c r="I38" s="82"/>
      <c r="J38" s="82"/>
      <c r="K38" s="82"/>
      <c r="L38" s="82"/>
      <c r="M38" s="82"/>
      <c r="N38" s="82"/>
      <c r="O38" s="82"/>
      <c r="P38" s="82"/>
      <c r="Q38" s="82"/>
    </row>
    <row r="39" spans="1:19" ht="20.45" customHeight="1" thickBot="1">
      <c r="A39" s="94" t="s">
        <v>150</v>
      </c>
      <c r="B39" s="94"/>
      <c r="C39" s="94"/>
      <c r="D39" s="94"/>
      <c r="E39" s="94"/>
      <c r="F39" s="94"/>
      <c r="G39" s="73">
        <v>1</v>
      </c>
      <c r="I39" s="82"/>
      <c r="J39" s="82"/>
      <c r="K39" s="82"/>
      <c r="L39" s="82"/>
      <c r="M39" s="82"/>
      <c r="N39" s="82"/>
      <c r="O39" s="82"/>
      <c r="P39" s="82"/>
      <c r="Q39" s="82"/>
    </row>
    <row r="40" spans="1:19" ht="23.1" customHeight="1" thickBot="1">
      <c r="A40" s="94" t="s">
        <v>151</v>
      </c>
      <c r="B40" s="94"/>
      <c r="C40" s="94"/>
      <c r="D40" s="94"/>
      <c r="E40" s="94"/>
      <c r="F40" s="94"/>
      <c r="G40" s="73">
        <v>1</v>
      </c>
      <c r="I40" s="82"/>
      <c r="J40" s="82"/>
      <c r="K40" s="82"/>
      <c r="L40" s="82"/>
      <c r="M40" s="82"/>
      <c r="N40" s="82"/>
      <c r="O40" s="82"/>
      <c r="P40" s="82"/>
      <c r="Q40" s="82"/>
    </row>
    <row r="41" spans="1:19" ht="35.450000000000003" customHeight="1" thickBot="1">
      <c r="A41" s="94" t="s">
        <v>152</v>
      </c>
      <c r="B41" s="94"/>
      <c r="C41" s="94"/>
      <c r="D41" s="94"/>
      <c r="E41" s="94"/>
      <c r="F41" s="94"/>
      <c r="G41" s="73">
        <v>2</v>
      </c>
      <c r="I41" s="86"/>
      <c r="J41" s="86"/>
      <c r="K41" s="86"/>
      <c r="L41" s="86"/>
      <c r="M41" s="86"/>
      <c r="N41" s="86"/>
      <c r="O41" s="86"/>
      <c r="P41" s="86"/>
      <c r="Q41" s="86"/>
      <c r="R41" s="86"/>
      <c r="S41" s="86"/>
    </row>
    <row r="42" spans="1:19" ht="37.5" customHeight="1" thickBot="1">
      <c r="A42" s="94" t="s">
        <v>153</v>
      </c>
      <c r="B42" s="94"/>
      <c r="C42" s="94"/>
      <c r="D42" s="94"/>
      <c r="E42" s="94"/>
      <c r="F42" s="94"/>
      <c r="G42" s="73">
        <v>1</v>
      </c>
      <c r="I42" s="86"/>
      <c r="J42" s="86"/>
      <c r="K42" s="86"/>
      <c r="L42" s="86"/>
      <c r="M42" s="86"/>
      <c r="N42" s="86"/>
      <c r="O42" s="86"/>
      <c r="P42" s="86"/>
      <c r="Q42" s="86"/>
      <c r="R42" s="86"/>
      <c r="S42" s="86"/>
    </row>
    <row r="43" spans="1:19" ht="26.45" customHeight="1" thickBot="1">
      <c r="A43" s="94" t="s">
        <v>154</v>
      </c>
      <c r="B43" s="94"/>
      <c r="C43" s="94"/>
      <c r="D43" s="94"/>
      <c r="E43" s="94"/>
      <c r="F43" s="94"/>
      <c r="G43" s="73">
        <v>1</v>
      </c>
      <c r="I43" s="86"/>
      <c r="J43" s="86"/>
      <c r="K43" s="86"/>
      <c r="L43" s="86"/>
      <c r="M43" s="86"/>
      <c r="N43" s="86"/>
      <c r="O43" s="86"/>
      <c r="P43" s="86"/>
      <c r="Q43" s="86"/>
      <c r="R43" s="86"/>
      <c r="S43" s="86"/>
    </row>
    <row r="44" spans="1:19" thickBot="1">
      <c r="A44" s="94" t="s">
        <v>155</v>
      </c>
      <c r="B44" s="94"/>
      <c r="C44" s="94"/>
      <c r="D44" s="94"/>
      <c r="E44" s="94"/>
      <c r="F44" s="94"/>
      <c r="G44" s="73">
        <v>1</v>
      </c>
    </row>
    <row r="45" spans="1:19" ht="31.5" customHeight="1" thickBot="1">
      <c r="A45" s="94" t="s">
        <v>156</v>
      </c>
      <c r="B45" s="94"/>
      <c r="C45" s="94"/>
      <c r="D45" s="94"/>
      <c r="E45" s="94"/>
      <c r="F45" s="94"/>
      <c r="G45" s="73">
        <v>1</v>
      </c>
    </row>
    <row r="46" spans="1:19" ht="15" thickBot="1">
      <c r="A46" s="94" t="s">
        <v>157</v>
      </c>
      <c r="B46" s="94"/>
      <c r="C46" s="94"/>
      <c r="D46" s="94"/>
      <c r="E46" s="94"/>
      <c r="F46" s="94"/>
      <c r="G46" s="73">
        <v>1</v>
      </c>
    </row>
    <row r="47" spans="1:19" ht="24" customHeight="1" thickBot="1">
      <c r="A47" s="94" t="s">
        <v>158</v>
      </c>
      <c r="B47" s="94"/>
      <c r="C47" s="94"/>
      <c r="D47" s="94"/>
      <c r="E47" s="94"/>
      <c r="F47" s="94"/>
      <c r="G47" s="73">
        <v>1</v>
      </c>
      <c r="I47" s="95"/>
      <c r="J47" s="95"/>
      <c r="K47" s="95"/>
      <c r="L47" s="95"/>
      <c r="M47" s="95"/>
      <c r="N47" s="95"/>
      <c r="O47" s="95"/>
      <c r="P47" s="95"/>
      <c r="Q47" s="95"/>
    </row>
    <row r="48" spans="1:19" ht="29.45" customHeight="1" thickBot="1">
      <c r="A48" s="94" t="s">
        <v>159</v>
      </c>
      <c r="B48" s="94"/>
      <c r="C48" s="94"/>
      <c r="D48" s="94"/>
      <c r="E48" s="94"/>
      <c r="F48" s="94"/>
      <c r="G48" s="73">
        <v>1</v>
      </c>
      <c r="I48" s="86"/>
      <c r="J48" s="86"/>
      <c r="K48" s="86"/>
      <c r="L48" s="86"/>
      <c r="M48" s="86"/>
      <c r="N48" s="86"/>
      <c r="O48" s="86"/>
      <c r="P48" s="86"/>
      <c r="Q48" s="86"/>
    </row>
    <row r="49" spans="1:7" ht="15" thickBot="1">
      <c r="A49" s="94" t="s">
        <v>160</v>
      </c>
      <c r="B49" s="94"/>
      <c r="C49" s="94"/>
      <c r="D49" s="94"/>
      <c r="E49" s="94"/>
      <c r="F49" s="94"/>
      <c r="G49" s="73">
        <v>1</v>
      </c>
    </row>
    <row r="50" spans="1:7" ht="15" thickBot="1">
      <c r="A50" s="94" t="s">
        <v>161</v>
      </c>
      <c r="B50" s="94"/>
      <c r="C50" s="94"/>
      <c r="D50" s="94"/>
      <c r="E50" s="94"/>
      <c r="F50" s="94"/>
      <c r="G50" s="73">
        <v>1</v>
      </c>
    </row>
    <row r="51" spans="1:7" ht="30.95" customHeight="1" thickBot="1">
      <c r="A51" s="94" t="s">
        <v>162</v>
      </c>
      <c r="B51" s="94"/>
      <c r="C51" s="94"/>
      <c r="D51" s="94"/>
      <c r="E51" s="94"/>
      <c r="F51" s="94"/>
      <c r="G51" s="73">
        <v>1</v>
      </c>
    </row>
    <row r="52" spans="1:7" ht="17.100000000000001" customHeight="1" thickBot="1">
      <c r="A52" s="94" t="s">
        <v>163</v>
      </c>
      <c r="B52" s="94"/>
      <c r="C52" s="94"/>
      <c r="D52" s="94"/>
      <c r="E52" s="94"/>
      <c r="F52" s="94"/>
      <c r="G52" s="73">
        <v>1</v>
      </c>
    </row>
    <row r="53" spans="1:7" ht="51.95" customHeight="1" thickBot="1">
      <c r="A53" s="92" t="s">
        <v>164</v>
      </c>
      <c r="B53" s="92"/>
      <c r="C53" s="92"/>
      <c r="D53" s="92"/>
      <c r="E53" s="92"/>
      <c r="F53" s="93"/>
      <c r="G53" s="73">
        <v>2</v>
      </c>
    </row>
    <row r="54" spans="1:7" ht="22.5" customHeight="1" thickBot="1">
      <c r="A54" s="92" t="s">
        <v>165</v>
      </c>
      <c r="B54" s="92"/>
      <c r="C54" s="92"/>
      <c r="D54" s="92"/>
      <c r="E54" s="92"/>
      <c r="F54" s="93"/>
      <c r="G54" s="73">
        <v>1</v>
      </c>
    </row>
    <row r="55" spans="1:7" ht="24.95" customHeight="1" thickBot="1">
      <c r="A55" s="92" t="s">
        <v>165</v>
      </c>
      <c r="B55" s="92"/>
      <c r="C55" s="92"/>
      <c r="D55" s="92"/>
      <c r="E55" s="92"/>
      <c r="F55" s="93"/>
      <c r="G55" s="73">
        <v>1</v>
      </c>
    </row>
    <row r="56" spans="1:7" ht="15" thickBot="1">
      <c r="A56" s="80"/>
      <c r="B56" s="80"/>
      <c r="C56" s="80"/>
      <c r="D56" s="80"/>
      <c r="E56" s="80"/>
      <c r="F56" s="81" t="s">
        <v>166</v>
      </c>
      <c r="G56" s="73">
        <f>SUM(G34:G55)</f>
        <v>28</v>
      </c>
    </row>
    <row r="57" spans="1:7" ht="15" thickBot="1">
      <c r="F57" s="4" t="s">
        <v>167</v>
      </c>
      <c r="G57" s="73">
        <v>13</v>
      </c>
    </row>
    <row r="58" spans="1:7" ht="15" thickBot="1">
      <c r="F58" s="4" t="s">
        <v>130</v>
      </c>
      <c r="G58" s="72"/>
    </row>
    <row r="59" spans="1:7">
      <c r="A59" s="4" t="s">
        <v>168</v>
      </c>
    </row>
    <row r="60" spans="1:7" ht="15" thickBot="1">
      <c r="A60" s="97" t="s">
        <v>169</v>
      </c>
      <c r="B60" s="97"/>
      <c r="C60" s="97"/>
      <c r="D60" s="97"/>
      <c r="E60" s="97"/>
      <c r="F60" s="97"/>
    </row>
    <row r="61" spans="1:7" ht="30.95" customHeight="1" thickBot="1">
      <c r="A61" s="91" t="s">
        <v>170</v>
      </c>
      <c r="B61" s="91"/>
      <c r="C61" s="91"/>
      <c r="D61" s="91"/>
      <c r="E61" s="91"/>
      <c r="F61" s="91"/>
      <c r="G61" s="73">
        <v>2</v>
      </c>
    </row>
    <row r="62" spans="1:7" ht="55.5" customHeight="1" thickBot="1">
      <c r="A62" s="91" t="s">
        <v>171</v>
      </c>
      <c r="B62" s="91"/>
      <c r="C62" s="91"/>
      <c r="D62" s="91"/>
      <c r="E62" s="91"/>
      <c r="F62" s="91"/>
      <c r="G62" s="73">
        <v>2</v>
      </c>
    </row>
    <row r="63" spans="1:7" ht="34.5" customHeight="1" thickBot="1">
      <c r="A63" s="91" t="s">
        <v>172</v>
      </c>
      <c r="B63" s="91"/>
      <c r="C63" s="91"/>
      <c r="D63" s="91"/>
      <c r="E63" s="91"/>
      <c r="F63" s="91"/>
      <c r="G63" s="73">
        <v>2</v>
      </c>
    </row>
    <row r="64" spans="1:7" ht="50.45" customHeight="1" thickBot="1">
      <c r="A64" s="91" t="s">
        <v>173</v>
      </c>
      <c r="B64" s="91"/>
      <c r="C64" s="91"/>
      <c r="D64" s="91"/>
      <c r="E64" s="91"/>
      <c r="F64" s="91"/>
      <c r="G64" s="73">
        <v>2</v>
      </c>
    </row>
    <row r="65" spans="1:9" ht="57.95" customHeight="1" thickBot="1">
      <c r="A65" s="91" t="s">
        <v>174</v>
      </c>
      <c r="B65" s="91"/>
      <c r="C65" s="91"/>
      <c r="D65" s="91"/>
      <c r="E65" s="91"/>
      <c r="F65" s="91"/>
      <c r="G65" s="73">
        <v>2</v>
      </c>
    </row>
    <row r="66" spans="1:9" ht="33.950000000000003" customHeight="1" thickBot="1">
      <c r="A66" s="91" t="s">
        <v>175</v>
      </c>
      <c r="B66" s="91"/>
      <c r="C66" s="91"/>
      <c r="D66" s="91"/>
      <c r="E66" s="91"/>
      <c r="F66" s="91"/>
      <c r="G66" s="73">
        <v>1</v>
      </c>
    </row>
    <row r="67" spans="1:9" ht="51" customHeight="1" thickBot="1">
      <c r="A67" s="91" t="s">
        <v>176</v>
      </c>
      <c r="B67" s="91"/>
      <c r="C67" s="91"/>
      <c r="D67" s="91"/>
      <c r="E67" s="91"/>
      <c r="F67" s="91"/>
      <c r="G67" s="73">
        <v>2</v>
      </c>
    </row>
    <row r="68" spans="1:9" ht="37.5" customHeight="1" thickBot="1">
      <c r="A68" s="91" t="s">
        <v>177</v>
      </c>
      <c r="B68" s="91"/>
      <c r="C68" s="91"/>
      <c r="D68" s="91"/>
      <c r="E68" s="91"/>
      <c r="F68" s="91"/>
      <c r="G68" s="73">
        <v>2</v>
      </c>
    </row>
    <row r="69" spans="1:9" ht="19.5" customHeight="1" thickBot="1">
      <c r="A69" s="91" t="s">
        <v>178</v>
      </c>
      <c r="B69" s="91"/>
      <c r="C69" s="91"/>
      <c r="D69" s="91"/>
      <c r="E69" s="91"/>
      <c r="F69" s="91"/>
      <c r="G69" s="73">
        <v>1</v>
      </c>
    </row>
    <row r="70" spans="1:9" ht="15" thickBot="1">
      <c r="A70" s="80"/>
      <c r="B70" s="80"/>
      <c r="C70" s="80"/>
      <c r="D70" s="80"/>
      <c r="E70" s="80"/>
      <c r="F70" s="81" t="s">
        <v>166</v>
      </c>
      <c r="G70" s="73">
        <f>SUM(G61:G69)</f>
        <v>16</v>
      </c>
    </row>
    <row r="71" spans="1:9" ht="15" thickBot="1">
      <c r="A71" s="80"/>
      <c r="B71" s="80"/>
      <c r="C71" s="80"/>
      <c r="D71" s="80"/>
      <c r="E71" s="80"/>
      <c r="F71" s="81" t="s">
        <v>129</v>
      </c>
      <c r="G71" s="73">
        <v>11</v>
      </c>
    </row>
    <row r="72" spans="1:9" ht="15" thickBot="1">
      <c r="A72" s="80"/>
      <c r="B72" s="80"/>
      <c r="C72" s="80"/>
      <c r="D72" s="80"/>
      <c r="E72" s="80"/>
      <c r="F72" s="81" t="s">
        <v>179</v>
      </c>
      <c r="G72" s="73">
        <v>1</v>
      </c>
    </row>
    <row r="73" spans="1:9" ht="15" thickBot="1">
      <c r="F73" s="4" t="s">
        <v>167</v>
      </c>
      <c r="G73" s="73">
        <v>12</v>
      </c>
    </row>
    <row r="74" spans="1:9" ht="15" thickBot="1">
      <c r="F74" s="4" t="s">
        <v>130</v>
      </c>
      <c r="G74" s="72"/>
      <c r="I74" s="85"/>
    </row>
    <row r="75" spans="1:9">
      <c r="I75" s="85"/>
    </row>
    <row r="76" spans="1:9">
      <c r="I76" s="85"/>
    </row>
  </sheetData>
  <mergeCells count="34">
    <mergeCell ref="I47:Q47"/>
    <mergeCell ref="A53:F53"/>
    <mergeCell ref="A5:F5"/>
    <mergeCell ref="A60:F60"/>
    <mergeCell ref="A68:F68"/>
    <mergeCell ref="A61:F61"/>
    <mergeCell ref="A62:F62"/>
    <mergeCell ref="A63:F63"/>
    <mergeCell ref="A64:F64"/>
    <mergeCell ref="A65:F65"/>
    <mergeCell ref="A67:F67"/>
    <mergeCell ref="A44:F44"/>
    <mergeCell ref="A45:F45"/>
    <mergeCell ref="A46:F46"/>
    <mergeCell ref="A47:F47"/>
    <mergeCell ref="A49:F49"/>
    <mergeCell ref="A34:F34"/>
    <mergeCell ref="A51:F51"/>
    <mergeCell ref="A52:F52"/>
    <mergeCell ref="A37:F37"/>
    <mergeCell ref="A38:F38"/>
    <mergeCell ref="A39:F39"/>
    <mergeCell ref="A40:F40"/>
    <mergeCell ref="A42:F42"/>
    <mergeCell ref="A35:F35"/>
    <mergeCell ref="A41:F41"/>
    <mergeCell ref="A43:F43"/>
    <mergeCell ref="A48:F48"/>
    <mergeCell ref="A36:F36"/>
    <mergeCell ref="A69:F69"/>
    <mergeCell ref="A54:F54"/>
    <mergeCell ref="A55:F55"/>
    <mergeCell ref="A66:F66"/>
    <mergeCell ref="A50:F5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Joubert, Dewald</dc:creator>
  <cp:keywords/>
  <dc:description/>
  <cp:lastModifiedBy/>
  <cp:revision/>
  <dcterms:created xsi:type="dcterms:W3CDTF">2021-06-07T11:02:54Z</dcterms:created>
  <dcterms:modified xsi:type="dcterms:W3CDTF">2025-03-25T09:20:18Z</dcterms:modified>
  <cp:category/>
  <cp:contentStatus/>
</cp:coreProperties>
</file>